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X:\Finance\Restricted Finance Work\SFIM US Loans\US Loans\COA\2023-24\"/>
    </mc:Choice>
  </mc:AlternateContent>
  <xr:revisionPtr revIDLastSave="0" documentId="14_{FD7F2F3C-9CBA-454A-8716-181DC329165B}" xr6:coauthVersionLast="47" xr6:coauthVersionMax="47" xr10:uidLastSave="{00000000-0000-0000-0000-000000000000}"/>
  <bookViews>
    <workbookView xWindow="-108" yWindow="312" windowWidth="23256" windowHeight="12156" xr2:uid="{00000000-000D-0000-FFFF-FFFF00000000}"/>
  </bookViews>
  <sheets>
    <sheet name="COA Spreadsheet" sheetId="1" r:id="rId1"/>
    <sheet name="Additional Costs" sheetId="4" r:id="rId2"/>
    <sheet name="Checklist" sheetId="3" r:id="rId3"/>
  </sheets>
  <definedNames>
    <definedName name="_xlnm.Print_Area" localSheetId="0">'COA Spreadsheet'!$A$1:$D$108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F48" i="1"/>
  <c r="F49" i="1"/>
  <c r="C64" i="1"/>
  <c r="C62" i="1" l="1"/>
  <c r="C63" i="1"/>
  <c r="C65" i="1"/>
  <c r="G49" i="1"/>
  <c r="F47" i="1"/>
  <c r="G47" i="1"/>
  <c r="B33" i="1"/>
  <c r="F46" i="1"/>
  <c r="F45" i="1"/>
  <c r="F44" i="1"/>
  <c r="F43" i="1"/>
  <c r="C61" i="1"/>
  <c r="C53" i="1"/>
  <c r="C44" i="1"/>
  <c r="B32" i="1"/>
  <c r="C33" i="3" l="1"/>
  <c r="A33" i="3" l="1"/>
  <c r="A23" i="3"/>
  <c r="C23" i="3"/>
  <c r="C38" i="3"/>
  <c r="A38" i="3"/>
  <c r="C20" i="3"/>
  <c r="C22" i="3"/>
  <c r="C19" i="3"/>
  <c r="C54" i="1" l="1"/>
  <c r="E34" i="1" l="1"/>
  <c r="C55" i="1" l="1"/>
  <c r="F19" i="1"/>
  <c r="G64" i="1" l="1"/>
  <c r="E19" i="1"/>
  <c r="E20" i="1"/>
  <c r="E21" i="1"/>
  <c r="E18" i="1"/>
  <c r="E22" i="1"/>
  <c r="G19" i="1"/>
  <c r="F20" i="1"/>
  <c r="G20" i="1"/>
  <c r="F21" i="1"/>
  <c r="G21" i="1"/>
  <c r="F18" i="1"/>
  <c r="G18" i="1"/>
  <c r="F22" i="1"/>
  <c r="G22" i="1"/>
  <c r="A39" i="1"/>
  <c r="G35" i="1"/>
  <c r="G36" i="1"/>
  <c r="G37" i="1"/>
  <c r="G38" i="1"/>
  <c r="G34" i="1"/>
  <c r="D3" i="4"/>
  <c r="E10" i="4" s="1"/>
  <c r="A92" i="1"/>
  <c r="A100" i="1"/>
  <c r="C10" i="3"/>
  <c r="A10" i="3"/>
  <c r="C9" i="3"/>
  <c r="A9" i="3"/>
  <c r="C8" i="3"/>
  <c r="A8" i="3"/>
  <c r="A36" i="3"/>
  <c r="A37" i="3"/>
  <c r="A99" i="1"/>
  <c r="A98" i="1"/>
  <c r="C36" i="3"/>
  <c r="C37" i="3"/>
  <c r="C35" i="3"/>
  <c r="C34" i="3"/>
  <c r="A35" i="3"/>
  <c r="A34" i="3"/>
  <c r="D56" i="1"/>
  <c r="C66" i="1" s="1"/>
  <c r="A79" i="1" s="1"/>
  <c r="B30" i="1"/>
  <c r="B56" i="1"/>
  <c r="B31" i="1"/>
  <c r="H46" i="1"/>
  <c r="H45" i="1"/>
  <c r="E47" i="1"/>
  <c r="E46" i="1"/>
  <c r="E45" i="1"/>
  <c r="B87" i="1"/>
  <c r="B84" i="1"/>
  <c r="B29" i="1"/>
  <c r="E38" i="1"/>
  <c r="F38" i="1" s="1"/>
  <c r="E37" i="1"/>
  <c r="F37" i="1" s="1"/>
  <c r="E36" i="1"/>
  <c r="E35" i="1"/>
  <c r="F35" i="1" s="1"/>
  <c r="H47" i="1"/>
  <c r="H44" i="1"/>
  <c r="B66" i="1"/>
  <c r="A91" i="1"/>
  <c r="D87" i="1"/>
  <c r="B38" i="1"/>
  <c r="B36" i="1"/>
  <c r="B37" i="1"/>
  <c r="B35" i="1"/>
  <c r="B34" i="1"/>
  <c r="L66" i="1"/>
  <c r="L65" i="1"/>
  <c r="L64" i="1"/>
  <c r="C18" i="3"/>
  <c r="C17" i="3"/>
  <c r="E55" i="1"/>
  <c r="F55" i="1" s="1"/>
  <c r="G55" i="1" s="1"/>
  <c r="E54" i="1"/>
  <c r="E53" i="1"/>
  <c r="F53" i="1" s="1"/>
  <c r="G53" i="1" s="1"/>
  <c r="E52" i="1"/>
  <c r="C14" i="3"/>
  <c r="B86" i="1"/>
  <c r="B85" i="1"/>
  <c r="C88" i="1"/>
  <c r="C24" i="3"/>
  <c r="A14" i="3"/>
  <c r="L63" i="1"/>
  <c r="E44" i="1"/>
  <c r="H43" i="1"/>
  <c r="E43" i="1"/>
  <c r="D85" i="1" l="1"/>
  <c r="D86" i="1"/>
  <c r="D84" i="1"/>
  <c r="E12" i="4"/>
  <c r="F54" i="1"/>
  <c r="G54" i="1" s="1"/>
  <c r="E13" i="4"/>
  <c r="G24" i="1"/>
  <c r="E24" i="1"/>
  <c r="F24" i="1"/>
  <c r="E15" i="4"/>
  <c r="E9" i="4"/>
  <c r="E11" i="4"/>
  <c r="E14" i="4"/>
  <c r="D88" i="1" l="1"/>
  <c r="E16" i="4"/>
  <c r="J35" i="1" l="1"/>
  <c r="F52" i="1" s="1"/>
  <c r="G52" i="1" s="1"/>
  <c r="F34" i="1" l="1"/>
  <c r="H57" i="1"/>
  <c r="G44" i="1"/>
  <c r="F36" i="1"/>
  <c r="G43" i="1"/>
  <c r="G45" i="1"/>
  <c r="G46" i="1"/>
  <c r="G39" i="1" l="1"/>
  <c r="G65" i="1" s="1"/>
  <c r="C69" i="1" l="1"/>
  <c r="H65" i="1"/>
  <c r="G75" i="1" s="1"/>
  <c r="C68" i="1"/>
  <c r="C70" i="1" s="1"/>
  <c r="G74" i="1" l="1"/>
  <c r="G63" i="1"/>
  <c r="H63" i="1" s="1"/>
  <c r="H69" i="1" s="1"/>
  <c r="G66" i="1" l="1"/>
  <c r="G67" i="1" s="1"/>
  <c r="C73" i="1" l="1"/>
  <c r="A84" i="1" s="1"/>
  <c r="H70" i="1"/>
  <c r="H71" i="1" s="1"/>
  <c r="C74" i="1" l="1"/>
  <c r="A85" i="1" s="1"/>
  <c r="G76" i="1"/>
  <c r="G77" i="1" s="1"/>
  <c r="C75" i="1" l="1"/>
  <c r="C77" i="1" s="1"/>
  <c r="A87" i="1" l="1"/>
  <c r="A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TW167</author>
    <author>ms556</author>
  </authors>
  <commentList>
    <comment ref="B29" authorId="0" shapeId="0" xr:uid="{00000000-0006-0000-0000-000001000000}">
      <text>
        <r>
          <rPr>
            <b/>
            <sz val="12"/>
            <color indexed="81"/>
            <rFont val="Tahoma"/>
            <family val="2"/>
          </rPr>
          <t>If you are taking a 2 Year LLB course please select PGT for question 1</t>
        </r>
      </text>
    </comment>
    <comment ref="A86" authorId="1" shapeId="0" xr:uid="{00000000-0006-0000-0000-000002000000}">
      <text>
        <r>
          <rPr>
            <sz val="12"/>
            <color indexed="81"/>
            <rFont val="Calibri"/>
            <family val="2"/>
            <scheme val="minor"/>
          </rPr>
          <t>This is the max amount of a PLUS loan you are eligible to borrow.  It has been calculated to include any Loan Origination fees.</t>
        </r>
      </text>
    </comment>
    <comment ref="C86" authorId="1" shapeId="0" xr:uid="{00000000-0006-0000-0000-000003000000}">
      <text>
        <r>
          <rPr>
            <sz val="12"/>
            <color indexed="81"/>
            <rFont val="Calibri"/>
            <family val="2"/>
            <scheme val="minor"/>
          </rPr>
          <t>Please enter the amount of PLUS loan you wish to borrow, taking into account the maximum amount in cell A85</t>
        </r>
      </text>
    </comment>
    <comment ref="A87" authorId="1" shapeId="0" xr:uid="{00000000-0006-0000-0000-000004000000}">
      <text>
        <r>
          <rPr>
            <sz val="12"/>
            <color indexed="81"/>
            <rFont val="Calibri"/>
            <family val="2"/>
            <scheme val="minor"/>
          </rPr>
          <t>If you are eligible for Federal Direct Loans, you can take out a private loan instead of or combined with Federal Direct Loans if you so choose. The total of all loans can only be your total cost of attendance i.e. if you take Federal Loans to your maximum COA then we can not certify Private Loans for any amount additional to your COA.</t>
        </r>
      </text>
    </comment>
  </commentList>
</comments>
</file>

<file path=xl/sharedStrings.xml><?xml version="1.0" encoding="utf-8"?>
<sst xmlns="http://schemas.openxmlformats.org/spreadsheetml/2006/main" count="265" uniqueCount="217">
  <si>
    <t>Cost of Attendance</t>
  </si>
  <si>
    <t>No of Weeks for Undergraduates</t>
  </si>
  <si>
    <t>Depend</t>
  </si>
  <si>
    <t>Choice</t>
  </si>
  <si>
    <t>Year</t>
  </si>
  <si>
    <t>I</t>
  </si>
  <si>
    <t>N</t>
  </si>
  <si>
    <t>D</t>
  </si>
  <si>
    <t>Y</t>
  </si>
  <si>
    <t>STANDING DATA</t>
  </si>
  <si>
    <t>Family Name (Surname)</t>
  </si>
  <si>
    <t>Address Line 1</t>
  </si>
  <si>
    <t>Address Line 2</t>
  </si>
  <si>
    <t>Address Line 3</t>
  </si>
  <si>
    <t>Address Line 4</t>
  </si>
  <si>
    <t>pc</t>
  </si>
  <si>
    <t>Email</t>
  </si>
  <si>
    <t xml:space="preserve">Max Levels of </t>
  </si>
  <si>
    <t>Date of Birth dd/mm/yyyy</t>
  </si>
  <si>
    <t>Sub</t>
  </si>
  <si>
    <t>Unsub Depend</t>
  </si>
  <si>
    <t>Unsub Ind</t>
  </si>
  <si>
    <t>Full Social Security Number</t>
  </si>
  <si>
    <t>123 45 6789</t>
  </si>
  <si>
    <t>postgraduates</t>
  </si>
  <si>
    <t>Undergraduate1</t>
  </si>
  <si>
    <t>Undergraduate2</t>
  </si>
  <si>
    <t>Undergraduate&gt;2</t>
  </si>
  <si>
    <t>Law</t>
  </si>
  <si>
    <t>Max Loan Available</t>
  </si>
  <si>
    <t>Rate</t>
  </si>
  <si>
    <t xml:space="preserve">Convert £ </t>
  </si>
  <si>
    <t>Already $</t>
  </si>
  <si>
    <t>Actual Loans</t>
  </si>
  <si>
    <t>Fees</t>
  </si>
  <si>
    <t>Sponsors</t>
  </si>
  <si>
    <t>School Aid</t>
  </si>
  <si>
    <t>Other Aid £UK</t>
  </si>
  <si>
    <t>Other Aid $USA</t>
  </si>
  <si>
    <t>Deduct from "Need"</t>
  </si>
  <si>
    <t>UG Weeks</t>
  </si>
  <si>
    <t>UG Costs</t>
  </si>
  <si>
    <t>Personal &amp; Miscellaneous</t>
  </si>
  <si>
    <t>SUB NEED</t>
  </si>
  <si>
    <t>UNSUB NEED</t>
  </si>
  <si>
    <t>Origination Fees</t>
  </si>
  <si>
    <t>$</t>
  </si>
  <si>
    <t>CoA</t>
  </si>
  <si>
    <t>Loan Type</t>
  </si>
  <si>
    <t>% Rate</t>
  </si>
  <si>
    <t>Actual Factor</t>
  </si>
  <si>
    <t>Tuition Fees</t>
  </si>
  <si>
    <t>Less EFC</t>
  </si>
  <si>
    <t>Sub Loan Orig Fee</t>
  </si>
  <si>
    <t>Unsub Loan Orig Fee</t>
  </si>
  <si>
    <t>Need for Sub</t>
  </si>
  <si>
    <t>PLUS Loans %</t>
  </si>
  <si>
    <t>Sub Calc</t>
  </si>
  <si>
    <t>Need for Unsub</t>
  </si>
  <si>
    <t>Unsub available</t>
  </si>
  <si>
    <t>Total Cost of Attendance</t>
  </si>
  <si>
    <t>Unsub Calc</t>
  </si>
  <si>
    <t>Adjust for Sponsorship, Awards or other Aid</t>
  </si>
  <si>
    <t>Total Requested Cost of Attendance</t>
  </si>
  <si>
    <t>PLUS Need</t>
  </si>
  <si>
    <t>Maximum Loans Eligible</t>
  </si>
  <si>
    <t>Less Sponsors/Aid</t>
  </si>
  <si>
    <t>Subsidised - Adjusted by EFC</t>
  </si>
  <si>
    <t>Less Loans</t>
  </si>
  <si>
    <t>PLUS Calc</t>
  </si>
  <si>
    <t>Total Eligible Loans Available</t>
  </si>
  <si>
    <t>OK Statement 1</t>
  </si>
  <si>
    <t>OK Statement 2</t>
  </si>
  <si>
    <t>Max Loans Allowed</t>
  </si>
  <si>
    <t>State how much you would like to borrow</t>
  </si>
  <si>
    <t>Your Request</t>
  </si>
  <si>
    <t>After Origination Fees You Get</t>
  </si>
  <si>
    <t>Total</t>
  </si>
  <si>
    <t>University Student ID</t>
  </si>
  <si>
    <t>Description of additional cost</t>
  </si>
  <si>
    <t>e.g. accommodation</t>
  </si>
  <si>
    <t>e.g. travel - train</t>
  </si>
  <si>
    <t>Type of cost</t>
  </si>
  <si>
    <t>U.S. Dollar rate</t>
  </si>
  <si>
    <t>Please put Y or N in the response box for each question</t>
  </si>
  <si>
    <t>The default setting is "N"</t>
  </si>
  <si>
    <t>Response</t>
  </si>
  <si>
    <t>Only Y or N</t>
  </si>
  <si>
    <t>Selective Service</t>
  </si>
  <si>
    <t>Research above this to be authorised</t>
  </si>
  <si>
    <t>Research Statement</t>
  </si>
  <si>
    <t xml:space="preserve">US Dollar Rate </t>
  </si>
  <si>
    <t>Authorised ($)</t>
  </si>
  <si>
    <t>Amount in $US</t>
  </si>
  <si>
    <t>Amount in £</t>
  </si>
  <si>
    <t>Single Costs</t>
  </si>
  <si>
    <t>PLUS Loan allowed for this CoA (adjusted up to include all fees)</t>
  </si>
  <si>
    <t>sum for students studying in UK</t>
  </si>
  <si>
    <t>Based on the information you have provided you are allowed to borrow up to the values above</t>
  </si>
  <si>
    <t>Originate statement</t>
  </si>
  <si>
    <t>Private Loan confirmation</t>
  </si>
  <si>
    <t>If everything is correct we will process the private loans you are eligible for and confirm this to you via email.</t>
  </si>
  <si>
    <t>If there are no comments then we have sufficient information to start the origination process. If anything is missing or incorrect, then we cannot originate your loans and will contact you in regards to this.</t>
  </si>
  <si>
    <t>Comments</t>
  </si>
  <si>
    <t>If there are no comments then we have sufficient information to process your Private Loan. If anything is missing or incorrect, then we cannot process your loans and will contact you in regards to this.</t>
  </si>
  <si>
    <t>Have you completed entrance counselling?</t>
  </si>
  <si>
    <t>Loan Application Steps</t>
  </si>
  <si>
    <t xml:space="preserve">Have you completed a FAFSA? </t>
  </si>
  <si>
    <t>Are you female?</t>
  </si>
  <si>
    <t>Have you applied for a PLUS Loan?</t>
  </si>
  <si>
    <r>
      <t xml:space="preserve">Checklist for </t>
    </r>
    <r>
      <rPr>
        <b/>
        <u/>
        <sz val="16"/>
        <rFont val="Calibri"/>
        <family val="2"/>
        <scheme val="minor"/>
      </rPr>
      <t>Direct Loan</t>
    </r>
    <r>
      <rPr>
        <b/>
        <sz val="14"/>
        <rFont val="Calibri"/>
        <family val="2"/>
        <scheme val="minor"/>
      </rPr>
      <t xml:space="preserve"> Applications</t>
    </r>
  </si>
  <si>
    <r>
      <t xml:space="preserve">Checklist for </t>
    </r>
    <r>
      <rPr>
        <b/>
        <u/>
        <sz val="16"/>
        <rFont val="Calibri"/>
        <family val="2"/>
        <scheme val="minor"/>
      </rPr>
      <t>Private Loan</t>
    </r>
    <r>
      <rPr>
        <b/>
        <sz val="14"/>
        <rFont val="Calibri"/>
        <family val="2"/>
        <scheme val="minor"/>
      </rPr>
      <t xml:space="preserve"> Applications</t>
    </r>
  </si>
  <si>
    <t>One-off costs</t>
  </si>
  <si>
    <t>Unsubsidised</t>
  </si>
  <si>
    <t>@</t>
  </si>
  <si>
    <t>dd/mm/yyyy</t>
  </si>
  <si>
    <r>
      <t>US Loans COA Approval Application Form</t>
    </r>
    <r>
      <rPr>
        <b/>
        <sz val="18"/>
        <rFont val="Calibri"/>
        <family val="2"/>
        <scheme val="minor"/>
      </rPr>
      <t xml:space="preserve"> </t>
    </r>
    <r>
      <rPr>
        <sz val="14"/>
        <rFont val="Calibri"/>
        <family val="2"/>
        <scheme val="minor"/>
      </rPr>
      <t>(Campus based full-time courses)</t>
    </r>
  </si>
  <si>
    <t>We will check any additional Research costs requested and confirm to you the amount of loan we will originate</t>
  </si>
  <si>
    <t>OPTIONS</t>
  </si>
  <si>
    <t>1. COMPLETE THESE BOXES</t>
  </si>
  <si>
    <t>2. PLEASE ANSWER THESE QUESTIONS</t>
  </si>
  <si>
    <t xml:space="preserve">4. "One-off" Costs allowed for the academic year </t>
  </si>
  <si>
    <t>5. FINAL COSTS &amp; LOAN DETERMINATION</t>
  </si>
  <si>
    <t>6. HOW MUCH WOULD YOU LIKE TO BORROW?</t>
  </si>
  <si>
    <t>If everything is correct we will originate the loans you are eligible for and issue a certificate for your visa application.</t>
  </si>
  <si>
    <t xml:space="preserve">We will check the information you have provided with US Dept of Education regulations and confirm the value of loans we can originate for you. </t>
  </si>
  <si>
    <t>Additional costs (for PhD Research Students)</t>
  </si>
  <si>
    <t>Complete this section  for PhD Research costs</t>
  </si>
  <si>
    <t>Total additional PhD Research costs</t>
  </si>
  <si>
    <t>Are you undertaking your study outside the UK i.e. in the US? Only answer Y or N</t>
  </si>
  <si>
    <t>Visa for UK - Full Course</t>
  </si>
  <si>
    <t>Immigration Health Charge - Per Year of Course</t>
  </si>
  <si>
    <t>UG</t>
  </si>
  <si>
    <t>PGT</t>
  </si>
  <si>
    <t>PhD</t>
  </si>
  <si>
    <t>What type of course are you taking? Only answer UG (Undergraduate - BA/BSc), PGT (Postgraduate Taught - MA/MSc) or PhD</t>
  </si>
  <si>
    <t>Not Campus Based</t>
  </si>
  <si>
    <t>January</t>
  </si>
  <si>
    <t>February</t>
  </si>
  <si>
    <t>March</t>
  </si>
  <si>
    <t>April</t>
  </si>
  <si>
    <t>May</t>
  </si>
  <si>
    <t>June</t>
  </si>
  <si>
    <t>July</t>
  </si>
  <si>
    <t>August</t>
  </si>
  <si>
    <t>September</t>
  </si>
  <si>
    <t>October</t>
  </si>
  <si>
    <t>November</t>
  </si>
  <si>
    <t>December</t>
  </si>
  <si>
    <t>Pro Rata</t>
  </si>
  <si>
    <t>Telecommunications (Mobile Phone, Broadband &amp; TV License)</t>
  </si>
  <si>
    <t>Personal (Clothing, Toiletries &amp; Leisure)</t>
  </si>
  <si>
    <t>Line 1</t>
  </si>
  <si>
    <t>Line 2</t>
  </si>
  <si>
    <t>Line 3</t>
  </si>
  <si>
    <t>Line 4</t>
  </si>
  <si>
    <t>3. Weekly Costs - University of Leicester Maximum Estimates</t>
  </si>
  <si>
    <t xml:space="preserve">Laptop </t>
  </si>
  <si>
    <t>Cost of 2 Return Flights</t>
  </si>
  <si>
    <r>
      <t xml:space="preserve">Allowable additional costs are those directly related to undertaking your Research studies and can be included here. For example, travel and accommodation costs for essential field trips to undertake your research, or to attend relevant conferences (including conference costs), or membership in professional groups or bodies related to your study. 
Please provide a description of what each additional cost relates to and evidence (e.g. screenshots of hotel website) of the cost so we can assess your request. Please only indicate the GBP (£) </t>
    </r>
    <r>
      <rPr>
        <b/>
        <sz val="12"/>
        <color theme="1"/>
        <rFont val="Calibri"/>
        <family val="2"/>
        <scheme val="minor"/>
      </rPr>
      <t>or</t>
    </r>
    <r>
      <rPr>
        <sz val="12"/>
        <color theme="1"/>
        <rFont val="Calibri"/>
        <family val="2"/>
        <scheme val="minor"/>
      </rPr>
      <t xml:space="preserve"> USD ($) cost for each line.</t>
    </r>
  </si>
  <si>
    <t>Amount in $</t>
  </si>
  <si>
    <t>Respond</t>
  </si>
  <si>
    <t>Do you want to receive a Private Loan?</t>
  </si>
  <si>
    <t>Questions</t>
  </si>
  <si>
    <t>Lender Name</t>
  </si>
  <si>
    <t xml:space="preserve">Lender Address </t>
  </si>
  <si>
    <t>Do you have a guarantor for this loan? Y or N only</t>
  </si>
  <si>
    <t>name</t>
  </si>
  <si>
    <t>address</t>
  </si>
  <si>
    <t>7. LENDER INFORMATION (PRIVATE LOANS ONLY)</t>
  </si>
  <si>
    <t>Do you want to receive a Direct Loan?</t>
  </si>
  <si>
    <t>01/10/2017-30/09/2018</t>
  </si>
  <si>
    <t>Family Name</t>
  </si>
  <si>
    <t>Given Name</t>
  </si>
  <si>
    <t>123456789</t>
  </si>
  <si>
    <t>PGR 1 N</t>
  </si>
  <si>
    <t>PGR 1 Y</t>
  </si>
  <si>
    <t>PGR 2</t>
  </si>
  <si>
    <t>PGR 3 N</t>
  </si>
  <si>
    <t>PGR 3 Y</t>
  </si>
  <si>
    <t>PGR 4</t>
  </si>
  <si>
    <t>PGT 1 N</t>
  </si>
  <si>
    <t>PGT 1 Y</t>
  </si>
  <si>
    <t>PGT 2</t>
  </si>
  <si>
    <t>PGT 3</t>
  </si>
  <si>
    <t>PGT 4</t>
  </si>
  <si>
    <t>Given Name (Forename)</t>
  </si>
  <si>
    <t>Based on the information you have given above you will not be studying on campus, please complete the Distance Learning</t>
  </si>
  <si>
    <t>PG Costs</t>
  </si>
  <si>
    <t>PG Weeks</t>
  </si>
  <si>
    <t>Full Name</t>
  </si>
  <si>
    <t>Date</t>
  </si>
  <si>
    <t>DD.MM.YYYY</t>
  </si>
  <si>
    <t>Have you completed Annual Student Loan Acknowledgment for Federal Student Loans?</t>
  </si>
  <si>
    <t>Have you completed your Subsidised/Unsubsidised MPN?</t>
  </si>
  <si>
    <t>Have you completed your PLUS (Graduate or Parent PLUS) MPN?</t>
  </si>
  <si>
    <t>8. PLUS Loan Credit Check</t>
  </si>
  <si>
    <t>If you have requested a PLUS loan please complete this section to confirm you consent to a credit check being completed by the University of Leicester if required in order to confirm eligibility for the PLUS Loan. If required the credit check will be completed through the US Federal Student Aid system used by the University of Leicester.</t>
  </si>
  <si>
    <t>No of Weeks for Postgraduates</t>
  </si>
  <si>
    <t>Zip Code / Postcode</t>
  </si>
  <si>
    <t>Less Awards/Aid</t>
  </si>
  <si>
    <t>e.g. Example Conference, London, 2-3Nov</t>
  </si>
  <si>
    <t>e.g. conference fee</t>
  </si>
  <si>
    <t>(Reviewed July 2023)</t>
  </si>
  <si>
    <t>Cost of Attendance &amp; Loan Calculation for 2023/24</t>
  </si>
  <si>
    <t>Cost of Attendance &amp; Loan Calculation 2023/24</t>
  </si>
  <si>
    <t>Books, Course Materials, Supplies &amp; Equipment</t>
  </si>
  <si>
    <t>Transportation Expenses</t>
  </si>
  <si>
    <t>Living Expenses</t>
  </si>
  <si>
    <t>Food</t>
  </si>
  <si>
    <t>Housing</t>
  </si>
  <si>
    <t>On Campus</t>
  </si>
  <si>
    <t>Off Campus</t>
  </si>
  <si>
    <t>Transport</t>
  </si>
  <si>
    <t>Books</t>
  </si>
  <si>
    <t>Telecomms</t>
  </si>
  <si>
    <t>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</si>
</sst>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409]#,##0"/>
    <numFmt numFmtId="165" formatCode="#,##0_ ;\-#,##0\ "/>
    <numFmt numFmtId="166" formatCode="[$$-409]#,##0.00;[Red][$$-409]#,##0.00"/>
    <numFmt numFmtId="167" formatCode="[$-F800]dddd\,\ mmmm\ dd\,\ yyyy"/>
    <numFmt numFmtId="168" formatCode="&quot;£&quot;#,##0"/>
    <numFmt numFmtId="169" formatCode="[$$-409]#,##0;[Red][$$-409]#,##0"/>
    <numFmt numFmtId="170" formatCode="[$$-409]#,##0.00"/>
    <numFmt numFmtId="171" formatCode="&quot;£&quot;#,##0.00"/>
    <numFmt numFmtId="172" formatCode="0.000"/>
    <numFmt numFmtId="173" formatCode="0.00000"/>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6"/>
      <color rgb="FFFF0000"/>
      <name val="Calibri"/>
      <family val="2"/>
      <scheme val="minor"/>
    </font>
    <font>
      <i/>
      <sz val="16"/>
      <color rgb="FFFF0000"/>
      <name val="Calibri"/>
      <family val="2"/>
      <scheme val="minor"/>
    </font>
    <font>
      <b/>
      <sz val="10"/>
      <name val="Calibri"/>
      <family val="2"/>
      <scheme val="minor"/>
    </font>
    <font>
      <b/>
      <sz val="10"/>
      <color indexed="10"/>
      <name val="Calibri"/>
      <family val="2"/>
      <scheme val="minor"/>
    </font>
    <font>
      <sz val="10"/>
      <color rgb="FFFF0000"/>
      <name val="Calibri"/>
      <family val="2"/>
      <scheme val="minor"/>
    </font>
    <font>
      <i/>
      <sz val="8"/>
      <color rgb="FFFF0000"/>
      <name val="Calibri"/>
      <family val="2"/>
      <scheme val="minor"/>
    </font>
    <font>
      <sz val="10"/>
      <name val="Calibri"/>
      <family val="2"/>
      <scheme val="minor"/>
    </font>
    <font>
      <sz val="8"/>
      <color rgb="FFFF0000"/>
      <name val="Calibri"/>
      <family val="2"/>
      <scheme val="minor"/>
    </font>
    <font>
      <u/>
      <sz val="10"/>
      <color rgb="FFFF0000"/>
      <name val="Calibri"/>
      <family val="2"/>
      <scheme val="minor"/>
    </font>
    <font>
      <b/>
      <sz val="12"/>
      <color indexed="9"/>
      <name val="Calibri"/>
      <family val="2"/>
      <scheme val="minor"/>
    </font>
    <font>
      <b/>
      <sz val="14"/>
      <color indexed="9"/>
      <name val="Calibri"/>
      <family val="2"/>
      <scheme val="minor"/>
    </font>
    <font>
      <sz val="12"/>
      <color rgb="FFFF0000"/>
      <name val="Calibri"/>
      <family val="2"/>
      <scheme val="minor"/>
    </font>
    <font>
      <sz val="12"/>
      <name val="Calibri"/>
      <family val="2"/>
      <scheme val="minor"/>
    </font>
    <font>
      <sz val="10"/>
      <color indexed="12"/>
      <name val="Calibri"/>
      <family val="2"/>
      <scheme val="minor"/>
    </font>
    <font>
      <u/>
      <sz val="7.5"/>
      <color indexed="12"/>
      <name val="Arial"/>
      <family val="2"/>
    </font>
    <font>
      <u/>
      <sz val="12"/>
      <color rgb="FFFF0000"/>
      <name val="Calibri"/>
      <family val="2"/>
      <scheme val="minor"/>
    </font>
    <font>
      <sz val="12"/>
      <color indexed="12"/>
      <name val="Calibri"/>
      <family val="2"/>
      <scheme val="minor"/>
    </font>
    <font>
      <b/>
      <sz val="12"/>
      <name val="Calibri"/>
      <family val="2"/>
      <scheme val="minor"/>
    </font>
    <font>
      <sz val="14"/>
      <color rgb="FFFF0000"/>
      <name val="Calibri"/>
      <family val="2"/>
      <scheme val="minor"/>
    </font>
    <font>
      <b/>
      <sz val="14"/>
      <color indexed="10"/>
      <name val="Calibri"/>
      <family val="2"/>
      <scheme val="minor"/>
    </font>
    <font>
      <b/>
      <sz val="12"/>
      <color indexed="10"/>
      <name val="Calibri"/>
      <family val="2"/>
      <scheme val="minor"/>
    </font>
    <font>
      <sz val="11"/>
      <color rgb="FF3333FF"/>
      <name val="Calibri"/>
      <family val="2"/>
      <scheme val="minor"/>
    </font>
    <font>
      <sz val="12"/>
      <color rgb="FF3333FF"/>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
      <b/>
      <sz val="12"/>
      <color theme="1"/>
      <name val="Calibri"/>
      <family val="2"/>
      <scheme val="minor"/>
    </font>
    <font>
      <b/>
      <sz val="14"/>
      <color rgb="FF3333FF"/>
      <name val="Calibri"/>
      <family val="2"/>
      <scheme val="minor"/>
    </font>
    <font>
      <sz val="14"/>
      <color rgb="FF3333FF"/>
      <name val="Calibri"/>
      <family val="2"/>
      <scheme val="minor"/>
    </font>
    <font>
      <b/>
      <sz val="10"/>
      <color rgb="FF3333FF"/>
      <name val="Calibri"/>
      <family val="2"/>
      <scheme val="minor"/>
    </font>
    <font>
      <b/>
      <sz val="14"/>
      <color theme="1"/>
      <name val="Calibri"/>
      <family val="2"/>
      <scheme val="minor"/>
    </font>
    <font>
      <b/>
      <sz val="14"/>
      <name val="Calibri"/>
      <family val="2"/>
      <scheme val="minor"/>
    </font>
    <font>
      <sz val="12"/>
      <color theme="1"/>
      <name val="Calibri"/>
      <family val="2"/>
      <scheme val="minor"/>
    </font>
    <font>
      <sz val="14"/>
      <name val="Calibri"/>
      <family val="2"/>
      <scheme val="minor"/>
    </font>
    <font>
      <b/>
      <u/>
      <sz val="18"/>
      <name val="Calibri"/>
      <family val="2"/>
      <scheme val="minor"/>
    </font>
    <font>
      <b/>
      <sz val="18"/>
      <name val="Calibri"/>
      <family val="2"/>
      <scheme val="minor"/>
    </font>
    <font>
      <u/>
      <sz val="11"/>
      <color indexed="12"/>
      <name val="Calibri"/>
      <family val="2"/>
      <scheme val="minor"/>
    </font>
    <font>
      <b/>
      <sz val="11"/>
      <name val="Calibri"/>
      <family val="2"/>
      <scheme val="minor"/>
    </font>
    <font>
      <b/>
      <u/>
      <sz val="16"/>
      <name val="Calibri"/>
      <family val="2"/>
      <scheme val="minor"/>
    </font>
    <font>
      <sz val="11"/>
      <name val="Calibri"/>
      <family val="2"/>
      <scheme val="minor"/>
    </font>
    <font>
      <b/>
      <sz val="12"/>
      <color rgb="FF3333FF"/>
      <name val="Calibri"/>
      <family val="2"/>
      <scheme val="minor"/>
    </font>
    <font>
      <sz val="12"/>
      <color indexed="81"/>
      <name val="Calibri"/>
      <family val="2"/>
      <scheme val="minor"/>
    </font>
    <font>
      <sz val="11"/>
      <color indexed="12"/>
      <name val="Calibri"/>
      <family val="2"/>
      <scheme val="minor"/>
    </font>
    <font>
      <u/>
      <sz val="12"/>
      <color indexed="12"/>
      <name val="Calibri"/>
      <family val="2"/>
      <scheme val="minor"/>
    </font>
    <font>
      <b/>
      <sz val="16"/>
      <color indexed="12"/>
      <name val="Calibri"/>
      <family val="2"/>
      <scheme val="minor"/>
    </font>
    <font>
      <b/>
      <sz val="16"/>
      <color indexed="9"/>
      <name val="Calibri"/>
      <family val="2"/>
      <scheme val="minor"/>
    </font>
    <font>
      <b/>
      <sz val="11"/>
      <color rgb="FF3333FF"/>
      <name val="Calibri"/>
      <family val="2"/>
      <scheme val="minor"/>
    </font>
    <font>
      <b/>
      <sz val="12"/>
      <color indexed="81"/>
      <name val="Tahoma"/>
      <family val="2"/>
    </font>
    <font>
      <b/>
      <sz val="13"/>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64">
    <xf numFmtId="0" fontId="0" fillId="0" borderId="0" xfId="0"/>
    <xf numFmtId="0" fontId="4" fillId="0" borderId="0" xfId="0" applyFont="1" applyProtection="1"/>
    <xf numFmtId="0" fontId="5" fillId="0" borderId="0" xfId="0" applyFont="1" applyProtection="1"/>
    <xf numFmtId="0" fontId="6" fillId="0" borderId="0" xfId="0" applyFont="1" applyAlignment="1" applyProtection="1">
      <alignment horizontal="center"/>
    </xf>
    <xf numFmtId="0" fontId="8" fillId="0" borderId="0" xfId="0" applyFont="1" applyProtection="1"/>
    <xf numFmtId="0" fontId="9" fillId="0" borderId="0" xfId="0" applyFont="1" applyProtection="1"/>
    <xf numFmtId="43" fontId="10" fillId="0" borderId="0" xfId="1" applyFont="1" applyAlignment="1" applyProtection="1">
      <alignment horizontal="right"/>
    </xf>
    <xf numFmtId="15" fontId="6" fillId="0" borderId="0" xfId="0" applyNumberFormat="1" applyFont="1" applyAlignment="1" applyProtection="1">
      <alignment horizontal="center"/>
    </xf>
    <xf numFmtId="164" fontId="8" fillId="0" borderId="0" xfId="0" applyNumberFormat="1" applyFont="1" applyProtection="1"/>
    <xf numFmtId="0" fontId="11" fillId="0" borderId="0" xfId="0" applyFont="1" applyProtection="1"/>
    <xf numFmtId="165" fontId="10" fillId="0" borderId="0" xfId="1" applyNumberFormat="1" applyFont="1" applyAlignment="1" applyProtection="1">
      <alignment horizontal="right"/>
    </xf>
    <xf numFmtId="0" fontId="12" fillId="0" borderId="0" xfId="0" applyFont="1" applyAlignment="1" applyProtection="1">
      <alignment horizontal="center"/>
    </xf>
    <xf numFmtId="0" fontId="8" fillId="0" borderId="0" xfId="0" applyFont="1" applyAlignment="1" applyProtection="1">
      <alignment horizontal="center"/>
    </xf>
    <xf numFmtId="0" fontId="15" fillId="0" borderId="0" xfId="0" applyFont="1" applyProtection="1"/>
    <xf numFmtId="166" fontId="8" fillId="0" borderId="0" xfId="0" applyNumberFormat="1" applyFont="1" applyProtection="1"/>
    <xf numFmtId="1" fontId="16" fillId="0" borderId="4" xfId="1" applyNumberFormat="1" applyFont="1" applyBorder="1" applyAlignment="1" applyProtection="1">
      <alignment horizontal="center"/>
    </xf>
    <xf numFmtId="1" fontId="16" fillId="0" borderId="4" xfId="1" applyNumberFormat="1" applyFont="1" applyFill="1" applyBorder="1" applyAlignment="1" applyProtection="1">
      <alignment horizontal="center"/>
    </xf>
    <xf numFmtId="0" fontId="19" fillId="0" borderId="0" xfId="0" applyFont="1" applyAlignment="1" applyProtection="1">
      <alignment horizontal="center"/>
    </xf>
    <xf numFmtId="49" fontId="20" fillId="0" borderId="0" xfId="0" applyNumberFormat="1" applyFont="1" applyBorder="1" applyAlignment="1" applyProtection="1">
      <alignment horizontal="center"/>
      <protection locked="0"/>
    </xf>
    <xf numFmtId="0" fontId="12" fillId="0" borderId="0" xfId="0" applyFont="1" applyProtection="1"/>
    <xf numFmtId="164" fontId="8" fillId="0" borderId="0" xfId="0" applyNumberFormat="1" applyFont="1" applyAlignment="1" applyProtection="1">
      <alignment horizontal="center"/>
    </xf>
    <xf numFmtId="0" fontId="8" fillId="0" borderId="0" xfId="0" applyFont="1" applyAlignment="1" applyProtection="1">
      <alignment horizontal="left"/>
    </xf>
    <xf numFmtId="43" fontId="3" fillId="0" borderId="0" xfId="1" applyFont="1" applyFill="1" applyBorder="1" applyAlignment="1" applyProtection="1"/>
    <xf numFmtId="2" fontId="8" fillId="0" borderId="0" xfId="0" applyNumberFormat="1" applyFont="1" applyProtection="1"/>
    <xf numFmtId="170" fontId="16" fillId="0" borderId="6" xfId="1" applyNumberFormat="1" applyFont="1" applyBorder="1" applyAlignment="1" applyProtection="1">
      <alignment horizontal="right"/>
    </xf>
    <xf numFmtId="43" fontId="21" fillId="0" borderId="9" xfId="1" applyFont="1" applyBorder="1" applyAlignment="1" applyProtection="1">
      <alignment horizontal="left" indent="15"/>
    </xf>
    <xf numFmtId="0" fontId="15" fillId="0" borderId="0" xfId="0" applyFont="1" applyAlignment="1" applyProtection="1">
      <alignment horizontal="center"/>
    </xf>
    <xf numFmtId="0" fontId="15" fillId="0" borderId="0" xfId="0" applyFont="1" applyAlignment="1" applyProtection="1">
      <alignment horizontal="left"/>
    </xf>
    <xf numFmtId="0" fontId="22" fillId="0" borderId="0" xfId="0" applyFont="1" applyAlignment="1" applyProtection="1">
      <alignment horizontal="center"/>
    </xf>
    <xf numFmtId="0" fontId="22" fillId="0" borderId="0" xfId="0" applyFont="1" applyAlignment="1" applyProtection="1">
      <alignment horizontal="left"/>
    </xf>
    <xf numFmtId="0" fontId="22" fillId="0" borderId="0" xfId="0" applyFont="1" applyProtection="1"/>
    <xf numFmtId="0" fontId="0" fillId="0" borderId="0" xfId="0" applyProtection="1"/>
    <xf numFmtId="0" fontId="31" fillId="0" borderId="10" xfId="0" applyFont="1" applyBorder="1" applyAlignment="1" applyProtection="1">
      <alignment horizontal="center" vertical="center"/>
    </xf>
    <xf numFmtId="0" fontId="31" fillId="0" borderId="10" xfId="0" applyFont="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0" fillId="4" borderId="12" xfId="0" applyFill="1" applyBorder="1" applyProtection="1"/>
    <xf numFmtId="0" fontId="0" fillId="4" borderId="11" xfId="0" applyFill="1" applyBorder="1" applyProtection="1"/>
    <xf numFmtId="0" fontId="0" fillId="4" borderId="13" xfId="0" applyFill="1" applyBorder="1" applyProtection="1"/>
    <xf numFmtId="171" fontId="25" fillId="0" borderId="10" xfId="0" applyNumberFormat="1" applyFont="1" applyBorder="1" applyProtection="1">
      <protection locked="0"/>
    </xf>
    <xf numFmtId="164" fontId="8" fillId="0" borderId="0" xfId="0" applyNumberFormat="1" applyFont="1" applyAlignment="1" applyProtection="1">
      <alignment horizontal="left"/>
    </xf>
    <xf numFmtId="43" fontId="34" fillId="0" borderId="0" xfId="1" applyFont="1" applyBorder="1" applyAlignment="1" applyProtection="1">
      <alignment horizontal="right"/>
    </xf>
    <xf numFmtId="1" fontId="16" fillId="0" borderId="4" xfId="0" applyNumberFormat="1" applyFont="1" applyBorder="1" applyAlignment="1" applyProtection="1">
      <alignment horizontal="center"/>
    </xf>
    <xf numFmtId="1" fontId="16" fillId="0" borderId="7" xfId="1" applyNumberFormat="1" applyFont="1" applyBorder="1" applyAlignment="1" applyProtection="1">
      <alignment horizontal="center"/>
    </xf>
    <xf numFmtId="3" fontId="3" fillId="0" borderId="0" xfId="1" applyNumberFormat="1" applyFont="1" applyBorder="1" applyAlignment="1" applyProtection="1">
      <alignment horizontal="center"/>
    </xf>
    <xf numFmtId="170" fontId="16" fillId="0" borderId="0" xfId="1" applyNumberFormat="1" applyFont="1" applyBorder="1" applyAlignment="1" applyProtection="1">
      <alignment horizontal="right"/>
    </xf>
    <xf numFmtId="0" fontId="10" fillId="0" borderId="0" xfId="0" applyFont="1" applyBorder="1" applyProtection="1"/>
    <xf numFmtId="170" fontId="16" fillId="0" borderId="0" xfId="0" applyNumberFormat="1" applyFont="1" applyBorder="1" applyAlignment="1" applyProtection="1">
      <alignment horizontal="center"/>
    </xf>
    <xf numFmtId="43" fontId="3" fillId="0" borderId="0" xfId="1" applyFont="1" applyBorder="1" applyAlignment="1" applyProtection="1"/>
    <xf numFmtId="170" fontId="21" fillId="0" borderId="4" xfId="0" applyNumberFormat="1" applyFont="1" applyBorder="1" applyAlignment="1" applyProtection="1">
      <alignment horizontal="center"/>
    </xf>
    <xf numFmtId="0" fontId="32" fillId="0" borderId="0" xfId="0" applyFont="1" applyBorder="1" applyAlignment="1" applyProtection="1">
      <alignment horizontal="center"/>
    </xf>
    <xf numFmtId="43" fontId="16" fillId="0" borderId="0" xfId="1" applyFont="1" applyBorder="1" applyAlignment="1" applyProtection="1">
      <alignment horizontal="left" indent="15"/>
    </xf>
    <xf numFmtId="170" fontId="33" fillId="0" borderId="0" xfId="0" applyNumberFormat="1" applyFont="1" applyBorder="1" applyAlignment="1" applyProtection="1">
      <alignment horizontal="center"/>
      <protection locked="0"/>
    </xf>
    <xf numFmtId="170" fontId="32" fillId="0" borderId="0" xfId="0" applyNumberFormat="1" applyFont="1" applyBorder="1" applyAlignment="1" applyProtection="1">
      <alignment horizontal="center"/>
      <protection locked="0"/>
    </xf>
    <xf numFmtId="3" fontId="3" fillId="4" borderId="5" xfId="0" applyNumberFormat="1" applyFont="1" applyFill="1" applyBorder="1" applyAlignment="1" applyProtection="1">
      <alignment horizontal="center"/>
    </xf>
    <xf numFmtId="170" fontId="16" fillId="4" borderId="5" xfId="0" applyNumberFormat="1" applyFont="1" applyFill="1" applyBorder="1" applyAlignment="1" applyProtection="1">
      <alignment horizontal="center"/>
    </xf>
    <xf numFmtId="170" fontId="21" fillId="4" borderId="5" xfId="0" applyNumberFormat="1" applyFont="1" applyFill="1" applyBorder="1" applyAlignment="1" applyProtection="1">
      <alignment horizontal="center"/>
    </xf>
    <xf numFmtId="0" fontId="10" fillId="4" borderId="5" xfId="0" applyFont="1" applyFill="1" applyBorder="1" applyAlignment="1" applyProtection="1">
      <alignment horizontal="center"/>
    </xf>
    <xf numFmtId="43" fontId="0" fillId="0" borderId="0" xfId="0" applyNumberFormat="1" applyProtection="1"/>
    <xf numFmtId="43" fontId="21" fillId="0" borderId="0" xfId="1" applyFont="1" applyBorder="1" applyAlignment="1" applyProtection="1">
      <alignment horizontal="left" indent="15"/>
    </xf>
    <xf numFmtId="170" fontId="21" fillId="0" borderId="0" xfId="0" applyNumberFormat="1" applyFont="1" applyBorder="1" applyAlignment="1" applyProtection="1">
      <alignment horizontal="center"/>
    </xf>
    <xf numFmtId="43" fontId="16" fillId="0" borderId="0" xfId="1" applyFont="1" applyBorder="1" applyAlignment="1" applyProtection="1">
      <alignment horizontal="right" indent="15"/>
    </xf>
    <xf numFmtId="0" fontId="39" fillId="0" borderId="0" xfId="0" applyFont="1" applyAlignment="1" applyProtection="1">
      <alignment horizontal="center"/>
    </xf>
    <xf numFmtId="0" fontId="34" fillId="0" borderId="0" xfId="0" applyFont="1" applyFill="1" applyBorder="1" applyAlignment="1" applyProtection="1">
      <alignment horizontal="center"/>
      <protection locked="0"/>
    </xf>
    <xf numFmtId="0" fontId="28" fillId="0" borderId="0" xfId="0" applyFont="1" applyProtection="1"/>
    <xf numFmtId="0" fontId="29" fillId="0" borderId="0" xfId="0" applyFont="1" applyProtection="1"/>
    <xf numFmtId="0" fontId="2" fillId="0" borderId="0" xfId="0" applyFont="1" applyProtection="1"/>
    <xf numFmtId="0" fontId="0" fillId="0" borderId="0" xfId="0" applyAlignment="1" applyProtection="1">
      <alignment vertical="center"/>
    </xf>
    <xf numFmtId="0" fontId="8" fillId="0" borderId="0" xfId="0" applyFont="1" applyFill="1" applyProtection="1"/>
    <xf numFmtId="1" fontId="13" fillId="2" borderId="1" xfId="1" applyNumberFormat="1" applyFont="1" applyFill="1" applyBorder="1" applyAlignment="1" applyProtection="1">
      <alignment horizontal="center"/>
    </xf>
    <xf numFmtId="1" fontId="13" fillId="4" borderId="4" xfId="1" applyNumberFormat="1" applyFont="1" applyFill="1" applyBorder="1" applyAlignment="1" applyProtection="1">
      <alignment horizontal="center"/>
    </xf>
    <xf numFmtId="1" fontId="10" fillId="4" borderId="4" xfId="0" applyNumberFormat="1" applyFont="1" applyFill="1" applyBorder="1" applyAlignment="1" applyProtection="1">
      <alignment horizontal="center"/>
    </xf>
    <xf numFmtId="0" fontId="10" fillId="0" borderId="6" xfId="0" applyFont="1" applyBorder="1" applyAlignment="1" applyProtection="1">
      <alignment horizontal="center"/>
    </xf>
    <xf numFmtId="170" fontId="36" fillId="0" borderId="0" xfId="0" applyNumberFormat="1" applyFont="1" applyBorder="1" applyAlignment="1" applyProtection="1">
      <alignment horizontal="center"/>
    </xf>
    <xf numFmtId="1" fontId="45" fillId="0" borderId="4" xfId="0" applyNumberFormat="1" applyFont="1" applyFill="1" applyBorder="1" applyAlignment="1" applyProtection="1">
      <alignment horizontal="right"/>
    </xf>
    <xf numFmtId="43" fontId="44" fillId="0" borderId="0" xfId="1" applyFont="1" applyBorder="1" applyAlignment="1" applyProtection="1">
      <alignment vertical="top" wrapText="1"/>
    </xf>
    <xf numFmtId="43" fontId="44" fillId="0" borderId="0" xfId="1" applyFont="1" applyBorder="1" applyAlignment="1" applyProtection="1">
      <alignment horizontal="left" indent="15"/>
    </xf>
    <xf numFmtId="43" fontId="42" fillId="0" borderId="0" xfId="1" applyFont="1" applyBorder="1" applyAlignment="1" applyProtection="1">
      <alignment horizontal="right"/>
    </xf>
    <xf numFmtId="0" fontId="25" fillId="0" borderId="0" xfId="0" applyFont="1" applyAlignment="1" applyProtection="1">
      <alignment horizontal="center"/>
      <protection locked="0"/>
    </xf>
    <xf numFmtId="43" fontId="47" fillId="0" borderId="0" xfId="1" applyFont="1" applyBorder="1" applyAlignment="1" applyProtection="1">
      <alignment horizontal="center"/>
      <protection locked="0"/>
    </xf>
    <xf numFmtId="165" fontId="47" fillId="0" borderId="0" xfId="1" applyNumberFormat="1" applyFont="1" applyBorder="1" applyAlignment="1" applyProtection="1">
      <alignment horizontal="center"/>
      <protection locked="0"/>
    </xf>
    <xf numFmtId="3" fontId="47" fillId="0" borderId="0" xfId="1" applyNumberFormat="1" applyFont="1" applyBorder="1" applyAlignment="1" applyProtection="1">
      <alignment horizontal="center"/>
      <protection locked="0"/>
    </xf>
    <xf numFmtId="168" fontId="47" fillId="0" borderId="0" xfId="1" applyNumberFormat="1" applyFont="1" applyBorder="1" applyAlignment="1" applyProtection="1">
      <alignment horizontal="center"/>
      <protection locked="0"/>
    </xf>
    <xf numFmtId="169" fontId="47" fillId="0" borderId="5" xfId="0" applyNumberFormat="1" applyFont="1" applyFill="1" applyBorder="1" applyAlignment="1" applyProtection="1">
      <alignment horizontal="center"/>
      <protection locked="0"/>
    </xf>
    <xf numFmtId="169" fontId="47" fillId="0" borderId="8" xfId="0" applyNumberFormat="1" applyFont="1" applyBorder="1" applyAlignment="1" applyProtection="1">
      <alignment horizontal="center"/>
      <protection locked="0"/>
    </xf>
    <xf numFmtId="49" fontId="20" fillId="0" borderId="0" xfId="1" applyNumberFormat="1" applyFont="1" applyBorder="1" applyAlignment="1" applyProtection="1">
      <alignment horizontal="center"/>
      <protection locked="0"/>
    </xf>
    <xf numFmtId="49" fontId="48" fillId="0" borderId="0" xfId="2" applyNumberFormat="1" applyFont="1" applyBorder="1" applyAlignment="1" applyProtection="1">
      <alignment horizontal="center"/>
      <protection locked="0"/>
    </xf>
    <xf numFmtId="167" fontId="20" fillId="0" borderId="0" xfId="0" applyNumberFormat="1" applyFont="1" applyBorder="1" applyAlignment="1" applyProtection="1">
      <alignment horizontal="center"/>
      <protection locked="0"/>
    </xf>
    <xf numFmtId="1" fontId="3" fillId="4" borderId="4" xfId="1" applyNumberFormat="1" applyFont="1" applyFill="1" applyBorder="1" applyAlignment="1" applyProtection="1">
      <alignment horizontal="center"/>
    </xf>
    <xf numFmtId="1" fontId="10" fillId="4" borderId="4" xfId="1" applyNumberFormat="1" applyFont="1" applyFill="1" applyBorder="1" applyAlignment="1" applyProtection="1">
      <alignment horizontal="center"/>
    </xf>
    <xf numFmtId="1" fontId="6" fillId="4" borderId="4" xfId="1" applyNumberFormat="1" applyFont="1" applyFill="1" applyBorder="1" applyAlignment="1" applyProtection="1">
      <alignment horizontal="center"/>
    </xf>
    <xf numFmtId="1" fontId="10" fillId="3" borderId="4" xfId="1" applyNumberFormat="1" applyFont="1" applyFill="1" applyBorder="1" applyAlignment="1" applyProtection="1">
      <alignment horizontal="center"/>
    </xf>
    <xf numFmtId="43" fontId="44" fillId="0" borderId="0" xfId="1" applyFont="1" applyBorder="1" applyAlignment="1" applyProtection="1">
      <alignment horizontal="right"/>
    </xf>
    <xf numFmtId="3" fontId="44" fillId="3" borderId="5" xfId="0" applyNumberFormat="1" applyFont="1" applyFill="1" applyBorder="1" applyAlignment="1" applyProtection="1">
      <alignment horizontal="center"/>
    </xf>
    <xf numFmtId="1" fontId="10" fillId="3" borderId="7" xfId="1" applyNumberFormat="1" applyFont="1" applyFill="1" applyBorder="1" applyAlignment="1" applyProtection="1">
      <alignment horizontal="center"/>
    </xf>
    <xf numFmtId="168" fontId="47" fillId="3" borderId="0" xfId="1" applyNumberFormat="1" applyFont="1" applyFill="1" applyBorder="1" applyAlignment="1" applyProtection="1">
      <alignment horizontal="center"/>
    </xf>
    <xf numFmtId="3" fontId="10" fillId="3" borderId="5" xfId="0" applyNumberFormat="1" applyFont="1" applyFill="1" applyBorder="1" applyAlignment="1" applyProtection="1">
      <alignment horizontal="center"/>
    </xf>
    <xf numFmtId="43" fontId="3" fillId="0" borderId="0" xfId="1" applyFont="1" applyAlignment="1" applyProtection="1">
      <alignment horizontal="right"/>
    </xf>
    <xf numFmtId="43" fontId="3" fillId="0" borderId="0" xfId="1"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43" fontId="7" fillId="0" borderId="0" xfId="1" applyFont="1" applyAlignment="1" applyProtection="1">
      <alignment horizontal="right"/>
    </xf>
    <xf numFmtId="43" fontId="6" fillId="0" borderId="0" xfId="1" applyFont="1" applyAlignment="1" applyProtection="1">
      <alignment horizontal="center"/>
    </xf>
    <xf numFmtId="43" fontId="6" fillId="0" borderId="0" xfId="1" applyFont="1" applyAlignment="1" applyProtection="1">
      <alignment horizontal="right"/>
    </xf>
    <xf numFmtId="0" fontId="25" fillId="0" borderId="10" xfId="0" applyFont="1" applyBorder="1" applyProtection="1">
      <protection locked="0"/>
    </xf>
    <xf numFmtId="43" fontId="49" fillId="0" borderId="0" xfId="1" applyFont="1" applyFill="1" applyBorder="1" applyAlignment="1" applyProtection="1">
      <alignment horizontal="center"/>
      <protection locked="0"/>
    </xf>
    <xf numFmtId="164" fontId="44" fillId="4" borderId="5" xfId="0" applyNumberFormat="1" applyFont="1" applyFill="1" applyBorder="1" applyAlignment="1" applyProtection="1">
      <alignment horizontal="center"/>
    </xf>
    <xf numFmtId="49" fontId="49" fillId="0" borderId="6" xfId="0" applyNumberFormat="1" applyFont="1" applyBorder="1" applyAlignment="1" applyProtection="1">
      <alignment horizontal="center"/>
      <protection locked="0"/>
    </xf>
    <xf numFmtId="49" fontId="49" fillId="0" borderId="0" xfId="1" applyNumberFormat="1" applyFont="1" applyBorder="1" applyAlignment="1" applyProtection="1">
      <alignment horizontal="center"/>
      <protection locked="0"/>
    </xf>
    <xf numFmtId="0" fontId="21" fillId="0" borderId="5" xfId="0" applyFont="1" applyBorder="1" applyAlignment="1" applyProtection="1">
      <alignment horizontal="center" wrapText="1"/>
    </xf>
    <xf numFmtId="1" fontId="10" fillId="3" borderId="1" xfId="1" applyNumberFormat="1" applyFont="1" applyFill="1" applyBorder="1" applyAlignment="1" applyProtection="1">
      <alignment horizontal="center"/>
    </xf>
    <xf numFmtId="43" fontId="42" fillId="0" borderId="2" xfId="1" applyFont="1" applyBorder="1" applyAlignment="1" applyProtection="1">
      <alignment horizontal="right"/>
    </xf>
    <xf numFmtId="3" fontId="10" fillId="3" borderId="3" xfId="0" applyNumberFormat="1" applyFont="1" applyFill="1" applyBorder="1" applyAlignment="1" applyProtection="1">
      <alignment horizontal="center"/>
    </xf>
    <xf numFmtId="43" fontId="10" fillId="0" borderId="6" xfId="1" applyFont="1" applyBorder="1" applyProtection="1"/>
    <xf numFmtId="168" fontId="10" fillId="3" borderId="6" xfId="1" applyNumberFormat="1" applyFont="1" applyFill="1" applyBorder="1" applyAlignment="1" applyProtection="1">
      <alignment horizontal="center"/>
    </xf>
    <xf numFmtId="3" fontId="10" fillId="3" borderId="8" xfId="0" applyNumberFormat="1" applyFont="1" applyFill="1" applyBorder="1" applyAlignment="1" applyProtection="1">
      <alignment horizontal="center"/>
    </xf>
    <xf numFmtId="172" fontId="8" fillId="0" borderId="0" xfId="0" applyNumberFormat="1" applyFont="1" applyProtection="1"/>
    <xf numFmtId="0" fontId="37" fillId="0" borderId="0" xfId="0" applyFont="1" applyBorder="1" applyAlignment="1" applyProtection="1">
      <alignment horizontal="left" vertical="center" wrapText="1"/>
    </xf>
    <xf numFmtId="0" fontId="37" fillId="0" borderId="0" xfId="0" applyFont="1" applyBorder="1" applyAlignment="1" applyProtection="1">
      <alignment vertical="center" wrapText="1"/>
    </xf>
    <xf numFmtId="0" fontId="0" fillId="0" borderId="0" xfId="0" applyFill="1" applyBorder="1" applyProtection="1"/>
    <xf numFmtId="166" fontId="16" fillId="0" borderId="5" xfId="0" applyNumberFormat="1" applyFont="1" applyFill="1" applyBorder="1" applyAlignment="1" applyProtection="1">
      <alignment horizontal="center"/>
    </xf>
    <xf numFmtId="170" fontId="16" fillId="0" borderId="5" xfId="0" applyNumberFormat="1" applyFont="1" applyFill="1" applyBorder="1" applyAlignment="1" applyProtection="1">
      <alignment horizontal="center"/>
    </xf>
    <xf numFmtId="0" fontId="23" fillId="0" borderId="7" xfId="0" applyFont="1" applyFill="1" applyBorder="1" applyProtection="1"/>
    <xf numFmtId="43" fontId="44" fillId="0" borderId="0" xfId="1" applyFont="1" applyFill="1" applyBorder="1" applyAlignment="1" applyProtection="1">
      <alignment vertical="top" wrapText="1"/>
    </xf>
    <xf numFmtId="43" fontId="44" fillId="0" borderId="0" xfId="1" applyFont="1" applyFill="1" applyBorder="1" applyProtection="1"/>
    <xf numFmtId="43" fontId="44" fillId="0" borderId="6" xfId="1" applyFont="1" applyFill="1" applyBorder="1" applyProtection="1"/>
    <xf numFmtId="43" fontId="25" fillId="0" borderId="0" xfId="1" applyFont="1" applyFill="1" applyBorder="1" applyAlignment="1" applyProtection="1">
      <alignment horizontal="left" indent="15"/>
    </xf>
    <xf numFmtId="170" fontId="16" fillId="0" borderId="0" xfId="1" applyNumberFormat="1" applyFont="1" applyFill="1" applyBorder="1" applyAlignment="1" applyProtection="1">
      <alignment horizontal="right"/>
    </xf>
    <xf numFmtId="170" fontId="26" fillId="0" borderId="0" xfId="1" applyNumberFormat="1" applyFont="1" applyFill="1" applyBorder="1" applyAlignment="1" applyProtection="1">
      <alignment horizontal="right"/>
    </xf>
    <xf numFmtId="170" fontId="21" fillId="0" borderId="0" xfId="1" applyNumberFormat="1" applyFont="1" applyFill="1" applyBorder="1" applyAlignment="1" applyProtection="1">
      <alignment horizontal="right"/>
    </xf>
    <xf numFmtId="170" fontId="21" fillId="0" borderId="9" xfId="0" applyNumberFormat="1" applyFont="1" applyFill="1" applyBorder="1" applyAlignment="1" applyProtection="1">
      <alignment horizontal="right"/>
    </xf>
    <xf numFmtId="166" fontId="8" fillId="0" borderId="0" xfId="0" applyNumberFormat="1" applyFont="1" applyFill="1" applyProtection="1"/>
    <xf numFmtId="2" fontId="8" fillId="0" borderId="0" xfId="0" applyNumberFormat="1" applyFont="1" applyFill="1" applyProtection="1"/>
    <xf numFmtId="173" fontId="8" fillId="0" borderId="0" xfId="0" applyNumberFormat="1" applyFont="1" applyFill="1" applyProtection="1"/>
    <xf numFmtId="43" fontId="8" fillId="0" borderId="0" xfId="0" applyNumberFormat="1" applyFont="1" applyFill="1" applyProtection="1"/>
    <xf numFmtId="164" fontId="8" fillId="0" borderId="0" xfId="0" applyNumberFormat="1" applyFont="1" applyFill="1" applyProtection="1"/>
    <xf numFmtId="165" fontId="8" fillId="0" borderId="0" xfId="0" applyNumberFormat="1" applyFont="1" applyFill="1" applyProtection="1"/>
    <xf numFmtId="0" fontId="8" fillId="0" borderId="0" xfId="0" applyFont="1" applyFill="1" applyAlignment="1" applyProtection="1">
      <alignment horizontal="left"/>
    </xf>
    <xf numFmtId="165" fontId="8" fillId="0" borderId="0" xfId="0" applyNumberFormat="1" applyFont="1" applyFill="1" applyAlignment="1" applyProtection="1">
      <alignment horizontal="left"/>
    </xf>
    <xf numFmtId="0" fontId="15" fillId="0" borderId="0" xfId="0" applyFont="1" applyFill="1" applyProtection="1"/>
    <xf numFmtId="170" fontId="21" fillId="0" borderId="9" xfId="1" applyNumberFormat="1" applyFont="1" applyFill="1" applyBorder="1" applyAlignment="1" applyProtection="1">
      <alignment horizontal="right"/>
    </xf>
    <xf numFmtId="170" fontId="16" fillId="0" borderId="4" xfId="1" applyNumberFormat="1" applyFont="1" applyFill="1" applyBorder="1" applyAlignment="1" applyProtection="1">
      <alignment horizontal="right"/>
    </xf>
    <xf numFmtId="43" fontId="16" fillId="0" borderId="0" xfId="1" applyFont="1" applyFill="1" applyBorder="1" applyAlignment="1" applyProtection="1">
      <alignment horizontal="left" indent="15"/>
    </xf>
    <xf numFmtId="165" fontId="8" fillId="0" borderId="0" xfId="0" applyNumberFormat="1" applyFont="1" applyAlignment="1" applyProtection="1">
      <alignment horizontal="left" vertical="center"/>
    </xf>
    <xf numFmtId="168" fontId="44" fillId="0" borderId="0" xfId="1" applyNumberFormat="1" applyFont="1" applyFill="1" applyBorder="1" applyAlignment="1" applyProtection="1">
      <alignment horizontal="center"/>
    </xf>
    <xf numFmtId="170" fontId="25" fillId="0" borderId="10" xfId="0" applyNumberFormat="1" applyFont="1" applyBorder="1" applyProtection="1">
      <protection locked="0"/>
    </xf>
    <xf numFmtId="170" fontId="0" fillId="0" borderId="10" xfId="0" applyNumberFormat="1" applyBorder="1" applyProtection="1"/>
    <xf numFmtId="0" fontId="25" fillId="0" borderId="10" xfId="0" applyFont="1" applyBorder="1" applyProtection="1"/>
    <xf numFmtId="171" fontId="25" fillId="0" borderId="10" xfId="0" applyNumberFormat="1" applyFont="1" applyBorder="1" applyProtection="1"/>
    <xf numFmtId="0" fontId="25" fillId="0" borderId="0" xfId="0" applyFont="1" applyBorder="1" applyProtection="1"/>
    <xf numFmtId="171" fontId="25" fillId="0" borderId="0" xfId="0" applyNumberFormat="1" applyFont="1" applyBorder="1" applyProtection="1"/>
    <xf numFmtId="170" fontId="0" fillId="0" borderId="0" xfId="0" applyNumberFormat="1" applyBorder="1" applyProtection="1"/>
    <xf numFmtId="0" fontId="36" fillId="0" borderId="1" xfId="0" applyFont="1" applyBorder="1" applyAlignment="1" applyProtection="1">
      <alignment horizontal="center"/>
    </xf>
    <xf numFmtId="0" fontId="0" fillId="0" borderId="2" xfId="0" applyFont="1" applyBorder="1" applyProtection="1"/>
    <xf numFmtId="0" fontId="0" fillId="0" borderId="3" xfId="0" applyFont="1" applyBorder="1" applyProtection="1"/>
    <xf numFmtId="0" fontId="38" fillId="0" borderId="4" xfId="0" applyFont="1" applyBorder="1" applyAlignment="1" applyProtection="1">
      <alignment horizontal="center"/>
    </xf>
    <xf numFmtId="0" fontId="0" fillId="0" borderId="0" xfId="0" applyFont="1" applyBorder="1" applyProtection="1"/>
    <xf numFmtId="0" fontId="0" fillId="0" borderId="5" xfId="0" applyFont="1" applyBorder="1" applyProtection="1"/>
    <xf numFmtId="0" fontId="0" fillId="0" borderId="4" xfId="0" applyFont="1" applyBorder="1" applyProtection="1"/>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4" xfId="0" applyFont="1" applyBorder="1" applyAlignment="1" applyProtection="1">
      <alignment wrapText="1"/>
    </xf>
    <xf numFmtId="0" fontId="0" fillId="0" borderId="4" xfId="0" applyBorder="1" applyProtection="1"/>
    <xf numFmtId="0" fontId="24" fillId="0" borderId="5" xfId="0" applyFont="1" applyBorder="1" applyProtection="1"/>
    <xf numFmtId="49" fontId="20" fillId="0" borderId="0" xfId="0" applyNumberFormat="1" applyFont="1" applyBorder="1" applyAlignment="1" applyProtection="1">
      <alignment horizontal="center"/>
    </xf>
    <xf numFmtId="43" fontId="16" fillId="4" borderId="0" xfId="1" applyFont="1" applyFill="1" applyBorder="1" applyAlignment="1" applyProtection="1">
      <alignment horizontal="center"/>
    </xf>
    <xf numFmtId="0" fontId="16" fillId="4" borderId="5" xfId="0" applyFont="1" applyFill="1" applyBorder="1" applyAlignment="1" applyProtection="1">
      <alignment horizontal="center"/>
    </xf>
    <xf numFmtId="49" fontId="16" fillId="0" borderId="0" xfId="0" applyNumberFormat="1" applyFont="1" applyBorder="1" applyAlignment="1" applyProtection="1">
      <alignment horizontal="center"/>
    </xf>
    <xf numFmtId="43" fontId="45" fillId="0" borderId="0" xfId="1" applyFont="1" applyFill="1" applyBorder="1" applyAlignment="1" applyProtection="1">
      <alignment horizontal="center"/>
      <protection locked="0"/>
    </xf>
    <xf numFmtId="1" fontId="16" fillId="0" borderId="7" xfId="1" applyNumberFormat="1" applyFont="1" applyFill="1" applyBorder="1" applyAlignment="1" applyProtection="1">
      <alignment horizontal="center"/>
    </xf>
    <xf numFmtId="49" fontId="20" fillId="0" borderId="6" xfId="0" applyNumberFormat="1" applyFont="1" applyBorder="1" applyAlignment="1" applyProtection="1">
      <alignment horizontal="center"/>
      <protection locked="0"/>
    </xf>
    <xf numFmtId="43" fontId="16" fillId="4" borderId="6" xfId="1" applyFont="1" applyFill="1" applyBorder="1" applyAlignment="1" applyProtection="1">
      <alignment horizontal="center"/>
    </xf>
    <xf numFmtId="0" fontId="16" fillId="4" borderId="8" xfId="0" applyFont="1" applyFill="1" applyBorder="1" applyAlignment="1" applyProtection="1">
      <alignment horizontal="center"/>
    </xf>
    <xf numFmtId="43" fontId="50" fillId="2" borderId="2" xfId="1" applyFont="1" applyFill="1" applyBorder="1" applyAlignment="1" applyProtection="1">
      <alignment horizontal="center"/>
    </xf>
    <xf numFmtId="1" fontId="10" fillId="0" borderId="0" xfId="0" applyNumberFormat="1" applyFont="1" applyAlignment="1" applyProtection="1">
      <alignment horizontal="center"/>
    </xf>
    <xf numFmtId="0" fontId="10" fillId="0" borderId="0" xfId="0" applyFont="1" applyAlignment="1" applyProtection="1">
      <alignment horizontal="center"/>
    </xf>
    <xf numFmtId="1" fontId="3" fillId="0" borderId="0" xfId="1" applyNumberFormat="1" applyFont="1" applyAlignment="1" applyProtection="1">
      <alignment horizontal="center"/>
    </xf>
    <xf numFmtId="1" fontId="6" fillId="0" borderId="0" xfId="1" applyNumberFormat="1" applyFont="1" applyAlignment="1" applyProtection="1">
      <alignment horizontal="center"/>
    </xf>
    <xf numFmtId="43" fontId="6" fillId="0" borderId="0" xfId="1" applyFont="1" applyProtection="1"/>
    <xf numFmtId="1" fontId="10" fillId="0" borderId="0" xfId="1" applyNumberFormat="1" applyFont="1" applyAlignment="1" applyProtection="1">
      <alignment horizontal="center"/>
    </xf>
    <xf numFmtId="43" fontId="10" fillId="0" borderId="0" xfId="1" applyFont="1" applyProtection="1"/>
    <xf numFmtId="43" fontId="10" fillId="0" borderId="0" xfId="1" applyFont="1" applyAlignment="1" applyProtection="1">
      <alignment horizontal="center"/>
    </xf>
    <xf numFmtId="43" fontId="14" fillId="2" borderId="2" xfId="1" applyFont="1" applyFill="1" applyBorder="1" applyAlignment="1" applyProtection="1">
      <alignment horizontal="center"/>
    </xf>
    <xf numFmtId="43" fontId="10" fillId="2" borderId="2" xfId="1" applyFont="1" applyFill="1" applyBorder="1" applyAlignment="1" applyProtection="1">
      <alignment horizontal="center"/>
    </xf>
    <xf numFmtId="0" fontId="10" fillId="2" borderId="3" xfId="0" applyFont="1" applyFill="1" applyBorder="1" applyAlignment="1" applyProtection="1">
      <alignment horizontal="center"/>
    </xf>
    <xf numFmtId="43" fontId="10" fillId="3" borderId="0" xfId="1" applyFont="1" applyFill="1" applyBorder="1" applyProtection="1"/>
    <xf numFmtId="43" fontId="10" fillId="3" borderId="0" xfId="1" applyFont="1" applyFill="1" applyBorder="1" applyAlignment="1" applyProtection="1">
      <alignment horizontal="center"/>
    </xf>
    <xf numFmtId="0" fontId="10" fillId="3" borderId="5" xfId="0" applyFont="1" applyFill="1" applyBorder="1" applyAlignment="1" applyProtection="1">
      <alignment horizontal="center"/>
    </xf>
    <xf numFmtId="43" fontId="16" fillId="3" borderId="0" xfId="1" applyFont="1" applyFill="1" applyBorder="1" applyAlignment="1" applyProtection="1">
      <alignment horizontal="center"/>
    </xf>
    <xf numFmtId="0" fontId="16" fillId="3" borderId="5" xfId="0" applyFont="1" applyFill="1" applyBorder="1" applyAlignment="1" applyProtection="1">
      <alignment horizontal="center"/>
    </xf>
    <xf numFmtId="43" fontId="16" fillId="3" borderId="6" xfId="1" applyFont="1" applyFill="1" applyBorder="1" applyAlignment="1" applyProtection="1">
      <alignment horizontal="center"/>
    </xf>
    <xf numFmtId="0" fontId="16" fillId="3" borderId="8" xfId="0" applyFont="1" applyFill="1" applyBorder="1" applyAlignment="1" applyProtection="1">
      <alignment horizontal="center"/>
    </xf>
    <xf numFmtId="43" fontId="16" fillId="0" borderId="0" xfId="1" applyFont="1" applyFill="1" applyBorder="1" applyAlignment="1" applyProtection="1">
      <alignment horizontal="center"/>
    </xf>
    <xf numFmtId="0" fontId="16" fillId="0" borderId="18" xfId="0" applyFont="1" applyFill="1" applyBorder="1" applyAlignment="1" applyProtection="1">
      <alignment horizontal="center"/>
    </xf>
    <xf numFmtId="0" fontId="44" fillId="3" borderId="5" xfId="0" applyFont="1" applyFill="1" applyBorder="1" applyAlignment="1" applyProtection="1">
      <alignment horizontal="center"/>
    </xf>
    <xf numFmtId="169" fontId="44" fillId="3" borderId="5" xfId="0" applyNumberFormat="1" applyFont="1" applyFill="1" applyBorder="1" applyAlignment="1" applyProtection="1">
      <alignment horizontal="center"/>
    </xf>
    <xf numFmtId="168" fontId="47" fillId="3" borderId="6" xfId="1" applyNumberFormat="1" applyFont="1" applyFill="1" applyBorder="1" applyAlignment="1" applyProtection="1">
      <alignment horizontal="center"/>
    </xf>
    <xf numFmtId="168" fontId="17" fillId="0" borderId="0" xfId="1" applyNumberFormat="1" applyFont="1" applyAlignment="1" applyProtection="1">
      <alignment horizontal="center"/>
    </xf>
    <xf numFmtId="3" fontId="10" fillId="0" borderId="0" xfId="0" applyNumberFormat="1" applyFont="1" applyAlignment="1" applyProtection="1">
      <alignment horizontal="center"/>
    </xf>
    <xf numFmtId="0" fontId="54" fillId="0" borderId="0" xfId="0" applyFont="1" applyProtection="1"/>
    <xf numFmtId="0" fontId="10" fillId="0" borderId="0" xfId="0" applyFont="1" applyProtection="1"/>
    <xf numFmtId="43" fontId="36" fillId="0" borderId="0" xfId="1" applyFont="1" applyBorder="1" applyAlignment="1" applyProtection="1">
      <alignment horizontal="left" indent="15"/>
    </xf>
    <xf numFmtId="0" fontId="10" fillId="0" borderId="0" xfId="0" applyFont="1" applyBorder="1" applyAlignment="1" applyProtection="1">
      <alignment horizontal="center"/>
    </xf>
    <xf numFmtId="0" fontId="0" fillId="0" borderId="0" xfId="0" applyFill="1" applyProtection="1"/>
    <xf numFmtId="1" fontId="32" fillId="0" borderId="0" xfId="0" applyNumberFormat="1" applyFont="1" applyAlignment="1" applyProtection="1">
      <alignment horizontal="left"/>
    </xf>
    <xf numFmtId="0" fontId="27" fillId="0" borderId="0" xfId="0" applyFont="1" applyProtection="1"/>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51" fillId="0" borderId="0" xfId="0" applyFont="1" applyProtection="1"/>
    <xf numFmtId="0" fontId="6" fillId="0" borderId="4" xfId="0" applyFont="1" applyBorder="1" applyAlignment="1" applyProtection="1">
      <alignment horizontal="center"/>
    </xf>
    <xf numFmtId="0" fontId="6" fillId="0" borderId="4" xfId="0" applyFont="1" applyBorder="1" applyAlignment="1" applyProtection="1">
      <alignment horizontal="left"/>
    </xf>
    <xf numFmtId="0" fontId="24" fillId="0" borderId="5" xfId="0" applyFont="1" applyBorder="1" applyAlignment="1" applyProtection="1">
      <alignment horizontal="center"/>
    </xf>
    <xf numFmtId="0" fontId="42" fillId="0" borderId="4" xfId="0" applyFont="1" applyBorder="1" applyProtection="1"/>
    <xf numFmtId="0" fontId="0" fillId="3" borderId="0" xfId="0" applyFont="1" applyFill="1" applyBorder="1" applyAlignment="1" applyProtection="1">
      <alignment horizontal="center"/>
    </xf>
    <xf numFmtId="0" fontId="6" fillId="0" borderId="4" xfId="0" applyFont="1" applyBorder="1" applyProtection="1"/>
    <xf numFmtId="0" fontId="0" fillId="0" borderId="0" xfId="0" applyFont="1" applyFill="1" applyBorder="1" applyAlignment="1" applyProtection="1">
      <alignment horizontal="center"/>
    </xf>
    <xf numFmtId="0" fontId="0" fillId="0" borderId="0" xfId="0" applyFont="1" applyProtection="1"/>
    <xf numFmtId="0" fontId="24" fillId="0" borderId="0" xfId="0" applyFont="1" applyProtection="1"/>
    <xf numFmtId="0" fontId="34" fillId="0" borderId="0" xfId="0" applyFont="1" applyBorder="1" applyAlignment="1" applyProtection="1">
      <alignment horizontal="center"/>
      <protection locked="0"/>
    </xf>
    <xf numFmtId="0" fontId="41" fillId="0" borderId="4" xfId="2" applyFont="1" applyBorder="1" applyAlignment="1" applyProtection="1">
      <protection locked="0"/>
    </xf>
    <xf numFmtId="0" fontId="41" fillId="0" borderId="4" xfId="2" applyFont="1" applyBorder="1" applyAlignment="1" applyProtection="1">
      <alignment wrapText="1"/>
      <protection locked="0"/>
    </xf>
    <xf numFmtId="0" fontId="54" fillId="0" borderId="0" xfId="0" applyFont="1"/>
    <xf numFmtId="168" fontId="44" fillId="0" borderId="2" xfId="1" applyNumberFormat="1" applyFont="1" applyFill="1" applyBorder="1" applyAlignment="1" applyProtection="1">
      <alignment horizontal="center"/>
    </xf>
    <xf numFmtId="43" fontId="10" fillId="0" borderId="0" xfId="1" applyFont="1" applyFill="1" applyAlignment="1" applyProtection="1">
      <alignment horizontal="right"/>
    </xf>
    <xf numFmtId="170" fontId="36" fillId="0" borderId="5" xfId="0" applyNumberFormat="1" applyFont="1" applyBorder="1" applyAlignment="1" applyProtection="1">
      <alignment horizontal="center"/>
    </xf>
    <xf numFmtId="1" fontId="38" fillId="0" borderId="4" xfId="0" applyNumberFormat="1" applyFont="1" applyFill="1" applyBorder="1" applyAlignment="1" applyProtection="1">
      <alignment horizontal="center"/>
    </xf>
    <xf numFmtId="1" fontId="44" fillId="0" borderId="7" xfId="0" applyNumberFormat="1" applyFont="1" applyFill="1" applyBorder="1" applyAlignment="1" applyProtection="1">
      <alignment horizontal="center"/>
    </xf>
    <xf numFmtId="49" fontId="20" fillId="0" borderId="8" xfId="0" applyNumberFormat="1" applyFont="1" applyBorder="1" applyAlignment="1" applyProtection="1">
      <alignment horizontal="center"/>
      <protection locked="0"/>
    </xf>
    <xf numFmtId="0" fontId="41" fillId="0" borderId="4" xfId="2" applyFont="1" applyBorder="1" applyAlignment="1" applyProtection="1"/>
    <xf numFmtId="1" fontId="21" fillId="0" borderId="4" xfId="1" applyNumberFormat="1" applyFont="1" applyFill="1" applyBorder="1" applyAlignment="1" applyProtection="1">
      <alignment horizontal="center" wrapText="1"/>
    </xf>
    <xf numFmtId="1" fontId="21" fillId="0" borderId="0" xfId="1" applyNumberFormat="1" applyFont="1" applyFill="1" applyBorder="1" applyAlignment="1" applyProtection="1">
      <alignment horizontal="center" wrapText="1"/>
    </xf>
    <xf numFmtId="1" fontId="21" fillId="0" borderId="5" xfId="1" applyNumberFormat="1" applyFont="1" applyFill="1" applyBorder="1" applyAlignment="1" applyProtection="1">
      <alignment horizontal="center" wrapText="1"/>
    </xf>
    <xf numFmtId="168" fontId="25" fillId="4" borderId="0" xfId="1" applyNumberFormat="1" applyFont="1" applyFill="1" applyBorder="1" applyAlignment="1" applyProtection="1">
      <alignment horizontal="center"/>
    </xf>
    <xf numFmtId="164" fontId="25" fillId="0" borderId="5" xfId="0" applyNumberFormat="1" applyFont="1" applyFill="1" applyBorder="1" applyAlignment="1" applyProtection="1">
      <alignment horizontal="center"/>
    </xf>
    <xf numFmtId="3" fontId="10" fillId="0" borderId="6" xfId="1" applyNumberFormat="1" applyFont="1" applyBorder="1" applyAlignment="1" applyProtection="1">
      <alignment horizontal="center"/>
    </xf>
    <xf numFmtId="3" fontId="10" fillId="0" borderId="8" xfId="0" applyNumberFormat="1" applyFont="1" applyBorder="1" applyAlignment="1" applyProtection="1">
      <alignment horizontal="center"/>
    </xf>
    <xf numFmtId="1" fontId="10" fillId="0" borderId="4" xfId="0" applyNumberFormat="1" applyFont="1" applyBorder="1" applyAlignment="1" applyProtection="1">
      <alignment horizontal="center"/>
    </xf>
    <xf numFmtId="0" fontId="32" fillId="0" borderId="0" xfId="0" applyFont="1" applyFill="1" applyBorder="1" applyProtection="1"/>
    <xf numFmtId="0" fontId="23" fillId="0" borderId="0" xfId="0" applyFont="1" applyBorder="1" applyProtection="1"/>
    <xf numFmtId="1" fontId="10" fillId="4" borderId="19" xfId="0" applyNumberFormat="1" applyFont="1" applyFill="1" applyBorder="1" applyAlignment="1" applyProtection="1">
      <alignment horizontal="center"/>
    </xf>
    <xf numFmtId="43" fontId="36" fillId="0" borderId="20" xfId="1" applyFont="1" applyBorder="1" applyAlignment="1" applyProtection="1">
      <alignment horizontal="left" indent="15"/>
    </xf>
    <xf numFmtId="170" fontId="36" fillId="0" borderId="20" xfId="0" applyNumberFormat="1" applyFont="1" applyFill="1" applyBorder="1" applyAlignment="1" applyProtection="1">
      <alignment horizontal="center"/>
    </xf>
    <xf numFmtId="170" fontId="36" fillId="0" borderId="21" xfId="0" applyNumberFormat="1" applyFont="1" applyFill="1" applyBorder="1" applyAlignment="1" applyProtection="1">
      <alignment horizontal="center"/>
    </xf>
    <xf numFmtId="1" fontId="23" fillId="0" borderId="0" xfId="0" applyNumberFormat="1" applyFont="1" applyBorder="1" applyAlignment="1" applyProtection="1">
      <alignment horizontal="center"/>
    </xf>
    <xf numFmtId="1" fontId="10" fillId="0" borderId="7" xfId="1" applyNumberFormat="1" applyFont="1" applyFill="1" applyBorder="1" applyAlignment="1" applyProtection="1">
      <alignment horizontal="center"/>
    </xf>
    <xf numFmtId="1" fontId="53" fillId="0" borderId="2" xfId="1" applyNumberFormat="1" applyFont="1" applyFill="1" applyBorder="1" applyAlignment="1" applyProtection="1">
      <alignment horizontal="center"/>
    </xf>
    <xf numFmtId="43" fontId="50" fillId="2" borderId="1" xfId="1" applyFont="1" applyFill="1" applyBorder="1" applyAlignment="1" applyProtection="1">
      <alignment horizontal="center"/>
    </xf>
    <xf numFmtId="43" fontId="50" fillId="2" borderId="2" xfId="1" applyFont="1" applyFill="1" applyBorder="1" applyAlignment="1" applyProtection="1">
      <alignment horizontal="center"/>
    </xf>
    <xf numFmtId="43" fontId="50" fillId="2" borderId="3" xfId="1" applyFont="1" applyFill="1" applyBorder="1" applyAlignment="1" applyProtection="1">
      <alignment horizontal="center"/>
    </xf>
    <xf numFmtId="0" fontId="50" fillId="2" borderId="1" xfId="0" applyFont="1" applyFill="1" applyBorder="1" applyAlignment="1" applyProtection="1">
      <alignment horizontal="center"/>
    </xf>
    <xf numFmtId="0" fontId="50" fillId="2" borderId="2" xfId="0" applyFont="1" applyFill="1" applyBorder="1" applyAlignment="1" applyProtection="1">
      <alignment horizontal="center"/>
    </xf>
    <xf numFmtId="0" fontId="50" fillId="2" borderId="3" xfId="0" applyFont="1" applyFill="1" applyBorder="1" applyAlignment="1" applyProtection="1">
      <alignment horizontal="center"/>
    </xf>
    <xf numFmtId="1" fontId="21" fillId="0" borderId="4" xfId="1" applyNumberFormat="1" applyFont="1" applyFill="1" applyBorder="1" applyAlignment="1" applyProtection="1">
      <alignment horizontal="center" wrapText="1"/>
    </xf>
    <xf numFmtId="1" fontId="21" fillId="0" borderId="0" xfId="1" applyNumberFormat="1" applyFont="1" applyFill="1" applyBorder="1" applyAlignment="1" applyProtection="1">
      <alignment horizontal="center" wrapText="1"/>
    </xf>
    <xf numFmtId="1" fontId="21" fillId="0" borderId="5" xfId="1" applyNumberFormat="1" applyFont="1" applyFill="1" applyBorder="1" applyAlignment="1" applyProtection="1">
      <alignment horizontal="center" wrapText="1"/>
    </xf>
    <xf numFmtId="0" fontId="23" fillId="0" borderId="7" xfId="0" applyFont="1" applyFill="1" applyBorder="1" applyAlignment="1" applyProtection="1">
      <alignment horizontal="center"/>
    </xf>
    <xf numFmtId="0" fontId="23" fillId="0" borderId="6" xfId="0" applyFont="1" applyFill="1" applyBorder="1" applyAlignment="1" applyProtection="1">
      <alignment horizontal="center"/>
    </xf>
    <xf numFmtId="0" fontId="23" fillId="0" borderId="8" xfId="0" applyFont="1" applyFill="1" applyBorder="1" applyAlignment="1" applyProtection="1">
      <alignment horizontal="center"/>
    </xf>
    <xf numFmtId="0" fontId="37" fillId="0" borderId="15" xfId="0" applyFont="1" applyBorder="1" applyAlignment="1" applyProtection="1">
      <alignment horizontal="left" vertical="center" wrapText="1"/>
    </xf>
    <xf numFmtId="0" fontId="37" fillId="0" borderId="16" xfId="0" applyFont="1" applyBorder="1" applyAlignment="1" applyProtection="1">
      <alignment vertical="center" wrapText="1"/>
    </xf>
    <xf numFmtId="0" fontId="37" fillId="0" borderId="17" xfId="0" applyFont="1" applyBorder="1" applyAlignment="1" applyProtection="1">
      <alignment vertical="center" wrapText="1"/>
    </xf>
    <xf numFmtId="0" fontId="30" fillId="5" borderId="14" xfId="0" applyFont="1" applyFill="1" applyBorder="1" applyAlignment="1" applyProtection="1">
      <alignment horizontal="center"/>
    </xf>
    <xf numFmtId="0" fontId="35" fillId="0" borderId="7" xfId="0" applyFont="1" applyBorder="1" applyAlignment="1" applyProtection="1">
      <alignment horizontal="center" wrapText="1"/>
    </xf>
    <xf numFmtId="0" fontId="35" fillId="0" borderId="6" xfId="0" applyFont="1" applyBorder="1" applyAlignment="1" applyProtection="1">
      <alignment horizontal="center" wrapText="1"/>
    </xf>
    <xf numFmtId="0" fontId="35" fillId="0" borderId="8" xfId="0" applyFont="1" applyBorder="1" applyAlignment="1" applyProtection="1">
      <alignment horizontal="center" wrapText="1"/>
    </xf>
  </cellXfs>
  <cellStyles count="3">
    <cellStyle name="Comma" xfId="1" builtinId="3"/>
    <cellStyle name="Hyperlink" xfId="2" builtinId="8"/>
    <cellStyle name="Normal" xfId="0" builtinId="0"/>
  </cellStyles>
  <dxfs count="7">
    <dxf>
      <font>
        <b val="0"/>
        <strike val="0"/>
        <condense val="0"/>
        <extend val="0"/>
        <outline val="0"/>
        <shadow val="0"/>
        <vertAlign val="baseline"/>
        <color rgb="FFFF0000"/>
        <name val="Calibri"/>
        <scheme val="minor"/>
      </font>
      <protection locked="1" hidden="0"/>
    </dxf>
    <dxf>
      <font>
        <b val="0"/>
        <strike val="0"/>
        <condense val="0"/>
        <extend val="0"/>
        <outline val="0"/>
        <shadow val="0"/>
        <vertAlign val="baseline"/>
        <color rgb="FFFF0000"/>
        <name val="Calibri"/>
        <scheme val="minor"/>
      </font>
      <protection locked="1" hidden="0"/>
    </dxf>
    <dxf>
      <font>
        <b val="0"/>
        <i val="0"/>
        <strike val="0"/>
        <condense val="0"/>
        <extend val="0"/>
        <outline val="0"/>
        <shadow val="0"/>
        <u val="none"/>
        <vertAlign val="baseline"/>
        <sz val="10"/>
        <color rgb="FFFF0000"/>
        <name val="Calibri"/>
        <scheme val="minor"/>
      </font>
      <protection locked="1" hidden="0"/>
    </dxf>
    <dxf>
      <font>
        <color auto="1"/>
      </font>
      <fill>
        <patternFill patternType="solid">
          <bgColor theme="1"/>
        </patternFill>
      </fill>
    </dxf>
    <dxf>
      <font>
        <color auto="1"/>
      </font>
      <fill>
        <patternFill patternType="solid">
          <bgColor theme="1"/>
        </patternFill>
      </fill>
    </dxf>
    <dxf>
      <font>
        <color auto="1"/>
      </font>
      <fill>
        <patternFill patternType="solid">
          <bgColor theme="1"/>
        </patternFill>
      </fill>
    </dxf>
    <dxf>
      <font>
        <color auto="1"/>
      </font>
      <fill>
        <patternFill patternType="solid">
          <bgColor theme="1"/>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1828800</xdr:colOff>
      <xdr:row>48</xdr:row>
      <xdr:rowOff>228600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V="1">
          <a:off x="0" y="10223500"/>
          <a:ext cx="3810000" cy="2006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200" b="1" i="0" u="sng" strike="noStrike" baseline="0">
              <a:solidFill>
                <a:srgbClr val="000000"/>
              </a:solidFill>
              <a:latin typeface="+mn-lt"/>
              <a:cs typeface="Arial"/>
            </a:rPr>
            <a:t>These are the maximum estimated figures for the University of Leicester</a:t>
          </a:r>
        </a:p>
        <a:p>
          <a:pPr algn="l" rtl="0">
            <a:defRPr sz="1000"/>
          </a:pPr>
          <a:r>
            <a:rPr lang="en-GB" sz="1200" b="0" i="0" u="none" strike="noStrike" baseline="0">
              <a:solidFill>
                <a:srgbClr val="000000"/>
              </a:solidFill>
              <a:latin typeface="+mn-lt"/>
              <a:cs typeface="Arial"/>
            </a:rPr>
            <a:t>If you have dependant children with you while studying at the University please contact us at USloans@le.ac.uk to discuss your weekly essential costs as these may vary.</a:t>
          </a:r>
        </a:p>
      </xdr:txBody>
    </xdr:sp>
    <xdr:clientData/>
  </xdr:twoCellAnchor>
  <xdr:twoCellAnchor>
    <xdr:from>
      <xdr:col>0</xdr:col>
      <xdr:colOff>63500</xdr:colOff>
      <xdr:row>1</xdr:row>
      <xdr:rowOff>126998</xdr:rowOff>
    </xdr:from>
    <xdr:to>
      <xdr:col>1</xdr:col>
      <xdr:colOff>3251200</xdr:colOff>
      <xdr:row>9</xdr:row>
      <xdr:rowOff>177799</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flipV="1">
          <a:off x="63500" y="126998"/>
          <a:ext cx="5168900" cy="18034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complete all of the information with blue text. </a:t>
          </a:r>
        </a:p>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use the Checklist (see separate Checklist tab on this worksheet) to ensure that you have taken all the necessary steps so that we can process your loan request as quickly as possible.</a:t>
          </a:r>
        </a:p>
        <a:p>
          <a:pPr algn="ctr" rtl="0">
            <a:defRPr sz="1000"/>
          </a:pPr>
          <a:endParaRPr lang="en-GB" sz="1200" b="0" i="0" u="none" strike="noStrike" baseline="0">
            <a:solidFill>
              <a:srgbClr val="000000"/>
            </a:solidFill>
            <a:latin typeface="+mn-lt"/>
            <a:cs typeface="Arial"/>
          </a:endParaRPr>
        </a:p>
        <a:p>
          <a:pPr algn="ctr" rtl="0">
            <a:defRPr sz="1000"/>
          </a:pPr>
          <a:r>
            <a:rPr lang="en-GB" sz="1200" b="0" i="0" u="none" strike="noStrike" baseline="0">
              <a:solidFill>
                <a:srgbClr val="000000"/>
              </a:solidFill>
              <a:latin typeface="+mn-lt"/>
              <a:cs typeface="Arial"/>
            </a:rPr>
            <a:t>Please send your completed form with the necessary documents attached to USloans@le.ac.uk. If you have any queries please contact USloans@le.ac.uk.</a:t>
          </a:r>
        </a:p>
      </xdr:txBody>
    </xdr:sp>
    <xdr:clientData/>
  </xdr:twoCellAnchor>
  <xdr:twoCellAnchor>
    <xdr:from>
      <xdr:col>0</xdr:col>
      <xdr:colOff>0</xdr:colOff>
      <xdr:row>51</xdr:row>
      <xdr:rowOff>0</xdr:rowOff>
    </xdr:from>
    <xdr:to>
      <xdr:col>1</xdr:col>
      <xdr:colOff>2578100</xdr:colOff>
      <xdr:row>56</xdr:row>
      <xdr:rowOff>228600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flipV="1">
          <a:off x="0" y="13030200"/>
          <a:ext cx="4559300" cy="1498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200" b="1" i="0" u="sng" strike="noStrike" baseline="0">
              <a:solidFill>
                <a:srgbClr val="000000"/>
              </a:solidFill>
              <a:latin typeface="+mn-lt"/>
              <a:cs typeface="Arial"/>
            </a:rPr>
            <a:t>These are the maximum one-off costs allowed for the academic year.  </a:t>
          </a:r>
          <a:r>
            <a:rPr lang="en-GB" sz="1200" b="0" i="0" u="none" strike="noStrike" baseline="0">
              <a:solidFill>
                <a:srgbClr val="000000"/>
              </a:solidFill>
              <a:latin typeface="+mn-lt"/>
              <a:cs typeface="Arial"/>
            </a:rPr>
            <a:t>Costs relating to a laptop, visa applications and the Immigration Health Charge are only added to the Cost of Attendance for 1st year applications.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E9:E11" totalsRowShown="0" headerRowDxfId="2" dataDxfId="1">
  <autoFilter ref="E9:E11" xr:uid="{00000000-0009-0000-0100-000001000000}"/>
  <tableColumns count="1">
    <tableColumn id="1" xr3:uid="{00000000-0010-0000-0000-000001000000}"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tudentaid.gov/asla/" TargetMode="External"/><Relationship Id="rId2" Type="http://schemas.openxmlformats.org/officeDocument/2006/relationships/hyperlink" Target="https://studentaid.gov/entrance-counseling/" TargetMode="External"/><Relationship Id="rId1" Type="http://schemas.openxmlformats.org/officeDocument/2006/relationships/hyperlink" Target="https://studentaid.gov/h/apply-for-aid/fafsa" TargetMode="External"/><Relationship Id="rId6" Type="http://schemas.openxmlformats.org/officeDocument/2006/relationships/printerSettings" Target="../printerSettings/printerSettings3.bin"/><Relationship Id="rId5" Type="http://schemas.openxmlformats.org/officeDocument/2006/relationships/hyperlink" Target="https://studentaid.gov/mpn/" TargetMode="External"/><Relationship Id="rId4" Type="http://schemas.openxmlformats.org/officeDocument/2006/relationships/hyperlink" Target="https://studentaid.gov/mp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08"/>
  <sheetViews>
    <sheetView tabSelected="1" zoomScale="75" zoomScaleNormal="75" workbookViewId="0">
      <selection activeCell="B14" sqref="B14"/>
    </sheetView>
  </sheetViews>
  <sheetFormatPr defaultColWidth="9.109375" defaultRowHeight="14.4" x14ac:dyDescent="0.3"/>
  <cols>
    <col min="1" max="1" width="29.6640625" style="173" bestFit="1" customWidth="1"/>
    <col min="2" max="2" width="92.109375" style="199" customWidth="1"/>
    <col min="3" max="3" width="15.6640625" style="174" bestFit="1" customWidth="1"/>
    <col min="4" max="4" width="69.44140625" style="174" bestFit="1" customWidth="1"/>
    <col min="5" max="11" width="21.88671875" style="4" hidden="1" customWidth="1"/>
    <col min="12" max="12" width="13.109375" style="4" hidden="1" customWidth="1"/>
    <col min="13" max="13" width="23.5546875" style="31" hidden="1" customWidth="1"/>
    <col min="14" max="14" width="21.88671875" style="31" hidden="1" customWidth="1"/>
    <col min="15" max="26" width="9.109375" style="31" hidden="1" customWidth="1"/>
    <col min="27" max="16384" width="9.109375" style="31"/>
  </cols>
  <sheetData>
    <row r="1" spans="1:20" ht="19.5" customHeight="1" x14ac:dyDescent="0.45">
      <c r="B1" s="61" t="s">
        <v>116</v>
      </c>
    </row>
    <row r="2" spans="1:20" ht="19.5" customHeight="1" x14ac:dyDescent="0.4">
      <c r="A2" s="175"/>
      <c r="B2" s="96"/>
      <c r="C2" s="97"/>
      <c r="D2" s="98" t="s">
        <v>204</v>
      </c>
      <c r="E2" s="1"/>
      <c r="F2" s="1"/>
      <c r="G2" s="1"/>
      <c r="H2" s="1"/>
      <c r="I2" s="1"/>
      <c r="J2" s="1"/>
      <c r="K2" s="1"/>
      <c r="L2" s="1"/>
    </row>
    <row r="3" spans="1:20" ht="19.5" customHeight="1" x14ac:dyDescent="0.4">
      <c r="A3" s="175"/>
      <c r="B3" s="96"/>
      <c r="C3" s="97"/>
      <c r="D3" s="6" t="s">
        <v>203</v>
      </c>
      <c r="E3" s="2"/>
      <c r="F3" s="2"/>
      <c r="G3" s="2"/>
      <c r="H3" s="2"/>
      <c r="I3" s="2"/>
      <c r="J3" s="1"/>
      <c r="K3" s="1"/>
      <c r="L3" s="1"/>
    </row>
    <row r="4" spans="1:20" ht="19.5" customHeight="1" x14ac:dyDescent="0.4">
      <c r="A4" s="175"/>
      <c r="B4" s="96"/>
      <c r="C4" s="97"/>
      <c r="D4" s="99"/>
      <c r="E4" s="1"/>
      <c r="F4" s="2"/>
      <c r="G4" s="2"/>
      <c r="H4" s="1"/>
      <c r="I4" s="1"/>
      <c r="J4" s="1"/>
      <c r="K4" s="1"/>
      <c r="L4" s="1"/>
    </row>
    <row r="5" spans="1:20" ht="19.5" customHeight="1" x14ac:dyDescent="0.3">
      <c r="A5" s="176"/>
      <c r="B5" s="100"/>
      <c r="C5" s="101"/>
      <c r="D5" s="3"/>
      <c r="F5" s="8">
        <v>0</v>
      </c>
      <c r="G5" s="9" t="s">
        <v>89</v>
      </c>
    </row>
    <row r="6" spans="1:20" ht="19.5" customHeight="1" x14ac:dyDescent="0.3">
      <c r="A6" s="176"/>
      <c r="B6" s="102" t="s">
        <v>91</v>
      </c>
      <c r="C6" s="222">
        <v>1.4</v>
      </c>
      <c r="D6" s="7"/>
      <c r="F6" s="8"/>
      <c r="G6" s="9"/>
      <c r="H6" s="5"/>
      <c r="I6" s="5"/>
    </row>
    <row r="7" spans="1:20" ht="19.5" customHeight="1" x14ac:dyDescent="0.3">
      <c r="A7" s="176"/>
      <c r="B7" s="102"/>
      <c r="C7" s="6"/>
      <c r="D7" s="7"/>
      <c r="F7" s="8"/>
      <c r="G7" s="9"/>
      <c r="H7" s="5"/>
      <c r="I7" s="5"/>
    </row>
    <row r="8" spans="1:20" ht="19.5" customHeight="1" x14ac:dyDescent="0.3">
      <c r="A8" s="176"/>
      <c r="B8" s="102" t="s">
        <v>1</v>
      </c>
      <c r="C8" s="10">
        <v>39</v>
      </c>
      <c r="D8" s="3"/>
      <c r="F8" s="9"/>
      <c r="G8" s="5"/>
    </row>
    <row r="9" spans="1:20" ht="19.5" customHeight="1" x14ac:dyDescent="0.3">
      <c r="A9" s="176"/>
      <c r="B9" s="102" t="s">
        <v>198</v>
      </c>
      <c r="C9" s="10">
        <v>52</v>
      </c>
      <c r="D9" s="3"/>
      <c r="E9" s="4" t="s">
        <v>2</v>
      </c>
      <c r="F9" s="11" t="s">
        <v>3</v>
      </c>
      <c r="G9" s="11" t="s">
        <v>4</v>
      </c>
      <c r="H9" s="11" t="s">
        <v>3</v>
      </c>
      <c r="I9" s="4" t="s">
        <v>210</v>
      </c>
    </row>
    <row r="10" spans="1:20" ht="19.5" customHeight="1" x14ac:dyDescent="0.3">
      <c r="A10" s="176"/>
      <c r="B10" s="177"/>
      <c r="C10" s="101"/>
      <c r="D10" s="3"/>
      <c r="E10" s="4" t="s">
        <v>5</v>
      </c>
      <c r="F10" s="12" t="s">
        <v>132</v>
      </c>
      <c r="G10" s="12">
        <v>1</v>
      </c>
      <c r="H10" s="4" t="s">
        <v>8</v>
      </c>
      <c r="I10" s="4" t="s">
        <v>211</v>
      </c>
      <c r="M10" s="4"/>
      <c r="N10" s="4"/>
      <c r="O10" s="4"/>
      <c r="P10" s="4"/>
      <c r="Q10" s="4"/>
      <c r="R10" s="4"/>
      <c r="S10" s="4"/>
      <c r="T10" s="4"/>
    </row>
    <row r="11" spans="1:20" ht="19.5" customHeight="1" thickBot="1" x14ac:dyDescent="0.35">
      <c r="A11" s="178"/>
      <c r="B11" s="179"/>
      <c r="C11" s="180"/>
      <c r="E11" s="4" t="s">
        <v>7</v>
      </c>
      <c r="F11" s="12" t="s">
        <v>133</v>
      </c>
      <c r="G11" s="12">
        <v>2</v>
      </c>
      <c r="H11" s="4" t="s">
        <v>6</v>
      </c>
      <c r="I11" s="4" t="s">
        <v>212</v>
      </c>
    </row>
    <row r="12" spans="1:20" ht="19.5" customHeight="1" x14ac:dyDescent="0.35">
      <c r="A12" s="68"/>
      <c r="B12" s="181" t="s">
        <v>119</v>
      </c>
      <c r="C12" s="182"/>
      <c r="D12" s="183"/>
      <c r="F12" s="12" t="s">
        <v>134</v>
      </c>
      <c r="G12" s="12">
        <v>3</v>
      </c>
    </row>
    <row r="13" spans="1:20" ht="19.5" customHeight="1" x14ac:dyDescent="0.3">
      <c r="A13" s="90"/>
      <c r="B13" s="184"/>
      <c r="C13" s="185"/>
      <c r="D13" s="186"/>
      <c r="G13" s="12">
        <v>4</v>
      </c>
    </row>
    <row r="14" spans="1:20" ht="19.5" customHeight="1" x14ac:dyDescent="0.4">
      <c r="A14" s="15" t="s">
        <v>10</v>
      </c>
      <c r="B14" s="104" t="s">
        <v>172</v>
      </c>
      <c r="C14" s="187"/>
      <c r="D14" s="188"/>
      <c r="F14" s="13"/>
      <c r="G14" s="13"/>
      <c r="J14" s="13"/>
      <c r="K14" s="13"/>
    </row>
    <row r="15" spans="1:20" ht="19.5" customHeight="1" x14ac:dyDescent="0.4">
      <c r="A15" s="41" t="s">
        <v>186</v>
      </c>
      <c r="B15" s="104" t="s">
        <v>173</v>
      </c>
      <c r="C15" s="187"/>
      <c r="D15" s="188"/>
      <c r="I15" s="13" t="s">
        <v>9</v>
      </c>
      <c r="L15" s="130"/>
    </row>
    <row r="16" spans="1:20" ht="19.5" customHeight="1" x14ac:dyDescent="0.3">
      <c r="A16" s="16" t="s">
        <v>11</v>
      </c>
      <c r="B16" s="84" t="s">
        <v>152</v>
      </c>
      <c r="C16" s="187"/>
      <c r="D16" s="188"/>
      <c r="I16" s="4" t="s">
        <v>17</v>
      </c>
      <c r="L16" s="130"/>
    </row>
    <row r="17" spans="1:12" ht="19.5" customHeight="1" x14ac:dyDescent="0.3">
      <c r="A17" s="16" t="s">
        <v>12</v>
      </c>
      <c r="B17" s="84" t="s">
        <v>153</v>
      </c>
      <c r="C17" s="187"/>
      <c r="D17" s="188"/>
      <c r="E17" s="17" t="s">
        <v>19</v>
      </c>
      <c r="F17" s="17" t="s">
        <v>20</v>
      </c>
      <c r="G17" s="17" t="s">
        <v>21</v>
      </c>
      <c r="H17" s="13"/>
      <c r="I17" s="13" t="s">
        <v>19</v>
      </c>
      <c r="J17" s="17" t="s">
        <v>20</v>
      </c>
      <c r="K17" s="17" t="s">
        <v>21</v>
      </c>
      <c r="L17" s="130"/>
    </row>
    <row r="18" spans="1:12" ht="19.5" customHeight="1" x14ac:dyDescent="0.3">
      <c r="A18" s="16" t="s">
        <v>13</v>
      </c>
      <c r="B18" s="84" t="s">
        <v>154</v>
      </c>
      <c r="C18" s="187"/>
      <c r="D18" s="188"/>
      <c r="E18" s="134">
        <f>IF(OR(C27="UG", C27="PhD"), 0, IF(AND(C27="PGT", C29="N"), I18, 0))</f>
        <v>0</v>
      </c>
      <c r="F18" s="138">
        <f>IF(OR(C27="UG", C27="PhD"), 0, IF(AND(C27="PGT", C29="N"), J18, 0))</f>
        <v>0</v>
      </c>
      <c r="G18" s="134">
        <f>IF(AND(C27="PGT", C29="N"), K18, IF(C27="PhD", K18, 0))</f>
        <v>20500</v>
      </c>
      <c r="H18" s="4" t="s">
        <v>24</v>
      </c>
      <c r="I18" s="4">
        <v>0</v>
      </c>
      <c r="J18" s="13">
        <v>0</v>
      </c>
      <c r="K18" s="4">
        <v>20500</v>
      </c>
      <c r="L18" s="14"/>
    </row>
    <row r="19" spans="1:12" ht="19.5" customHeight="1" x14ac:dyDescent="0.3">
      <c r="A19" s="16" t="s">
        <v>14</v>
      </c>
      <c r="B19" s="84" t="s">
        <v>155</v>
      </c>
      <c r="C19" s="187"/>
      <c r="D19" s="188"/>
      <c r="E19" s="134">
        <f>IF((AND(C27="UG",C30=1)),I19,0)</f>
        <v>0</v>
      </c>
      <c r="F19" s="67">
        <f>IF((AND(C27="UG",C30=1, C31="D")),J19, 0)</f>
        <v>0</v>
      </c>
      <c r="G19" s="67">
        <f>IF((AND(C27="UG",C30=1,C31="I")),K19,0)</f>
        <v>0</v>
      </c>
      <c r="H19" s="4" t="s">
        <v>25</v>
      </c>
      <c r="I19" s="4">
        <v>3500</v>
      </c>
      <c r="J19" s="4">
        <v>2000</v>
      </c>
      <c r="K19" s="4">
        <v>6000</v>
      </c>
    </row>
    <row r="20" spans="1:12" ht="19.5" customHeight="1" x14ac:dyDescent="0.3">
      <c r="A20" s="15" t="s">
        <v>199</v>
      </c>
      <c r="B20" s="84" t="s">
        <v>15</v>
      </c>
      <c r="C20" s="187"/>
      <c r="D20" s="188"/>
      <c r="E20" s="134">
        <f>IF((AND(C27="UG",C30=2)),I20,0)</f>
        <v>0</v>
      </c>
      <c r="F20" s="67">
        <f>IF((AND(C27="UG",C30=2, C31="D")),J20, 0)</f>
        <v>0</v>
      </c>
      <c r="G20" s="67">
        <f>IF((AND(C27="UG",C30=2,C31="I")),K20,0)</f>
        <v>0</v>
      </c>
      <c r="H20" s="4" t="s">
        <v>26</v>
      </c>
      <c r="I20" s="4">
        <v>4500</v>
      </c>
      <c r="J20" s="4">
        <v>2000</v>
      </c>
      <c r="K20" s="4">
        <v>6000</v>
      </c>
    </row>
    <row r="21" spans="1:12" ht="19.5" customHeight="1" x14ac:dyDescent="0.3">
      <c r="A21" s="15" t="s">
        <v>16</v>
      </c>
      <c r="B21" s="85" t="s">
        <v>114</v>
      </c>
      <c r="C21" s="187"/>
      <c r="D21" s="188"/>
      <c r="E21" s="134">
        <f>IF((AND(C27="UG",C30&gt;=3)),I21,0)</f>
        <v>0</v>
      </c>
      <c r="F21" s="67">
        <f>IF((AND(C27="UG",C30&gt;=3, C31="D")),J21, 0)</f>
        <v>0</v>
      </c>
      <c r="G21" s="67">
        <f>IF((AND(C27="UG",C30&gt;=3,C31="I")),K21,0)</f>
        <v>0</v>
      </c>
      <c r="H21" s="4" t="s">
        <v>27</v>
      </c>
      <c r="I21" s="4">
        <v>5500</v>
      </c>
      <c r="J21" s="4">
        <v>2000</v>
      </c>
      <c r="K21" s="4">
        <v>7000</v>
      </c>
    </row>
    <row r="22" spans="1:12" ht="19.5" customHeight="1" x14ac:dyDescent="0.3">
      <c r="A22" s="15" t="s">
        <v>18</v>
      </c>
      <c r="B22" s="86" t="s">
        <v>115</v>
      </c>
      <c r="C22" s="187"/>
      <c r="D22" s="188"/>
      <c r="E22" s="134">
        <f>IF(AND(C27="PGT", C29="Y"), I22, 0)</f>
        <v>0</v>
      </c>
      <c r="F22" s="138">
        <f>IF(AND(C27="PGT", C29="Y"), J22, 0)</f>
        <v>0</v>
      </c>
      <c r="G22" s="134">
        <f>IF(AND(C27="PGT", C29="Y"), K22, 0)</f>
        <v>0</v>
      </c>
      <c r="H22" s="4" t="s">
        <v>28</v>
      </c>
      <c r="I22" s="4">
        <v>0</v>
      </c>
      <c r="J22" s="4">
        <v>0</v>
      </c>
      <c r="K22" s="4">
        <v>20500</v>
      </c>
    </row>
    <row r="23" spans="1:12" ht="19.5" customHeight="1" x14ac:dyDescent="0.4">
      <c r="A23" s="41" t="s">
        <v>22</v>
      </c>
      <c r="B23" s="107" t="s">
        <v>23</v>
      </c>
      <c r="C23" s="187"/>
      <c r="D23" s="188"/>
      <c r="E23" s="8"/>
      <c r="F23" s="8"/>
      <c r="G23" s="8"/>
    </row>
    <row r="24" spans="1:12" ht="19.5" customHeight="1" thickBot="1" x14ac:dyDescent="0.45">
      <c r="A24" s="42" t="s">
        <v>78</v>
      </c>
      <c r="B24" s="106" t="s">
        <v>174</v>
      </c>
      <c r="C24" s="189"/>
      <c r="D24" s="190"/>
      <c r="E24" s="134">
        <f>MAX(E18:E22)</f>
        <v>0</v>
      </c>
      <c r="F24" s="134">
        <f>MAX(F18:F22)</f>
        <v>0</v>
      </c>
      <c r="G24" s="134">
        <f>MAX(F18:G22)</f>
        <v>20500</v>
      </c>
      <c r="H24" s="4" t="s">
        <v>29</v>
      </c>
    </row>
    <row r="25" spans="1:12" ht="19.5" customHeight="1" thickBot="1" x14ac:dyDescent="0.35">
      <c r="A25" s="15"/>
      <c r="B25" s="163"/>
      <c r="C25" s="191"/>
      <c r="D25" s="192"/>
      <c r="L25" s="13"/>
    </row>
    <row r="26" spans="1:12" ht="19.5" customHeight="1" x14ac:dyDescent="0.4">
      <c r="A26" s="68"/>
      <c r="B26" s="172" t="s">
        <v>120</v>
      </c>
      <c r="C26" s="182"/>
      <c r="D26" s="183"/>
      <c r="L26" s="13"/>
    </row>
    <row r="27" spans="1:12" ht="28.8" x14ac:dyDescent="0.3">
      <c r="A27" s="89"/>
      <c r="B27" s="74" t="s">
        <v>135</v>
      </c>
      <c r="C27" s="77" t="s">
        <v>133</v>
      </c>
      <c r="D27" s="193"/>
    </row>
    <row r="28" spans="1:12" x14ac:dyDescent="0.3">
      <c r="A28" s="89"/>
      <c r="B28" s="74" t="s">
        <v>129</v>
      </c>
      <c r="C28" s="77" t="s">
        <v>6</v>
      </c>
      <c r="D28" s="193"/>
    </row>
    <row r="29" spans="1:12" ht="19.5" customHeight="1" x14ac:dyDescent="0.3">
      <c r="A29" s="90"/>
      <c r="B29" s="122" t="str">
        <f>IF(C28="Y", "Incorrect COA - Complete PTO &amp; DL COA Form", "Are you taking a 2 Year LLB (Graduate Entry) course?")</f>
        <v>Are you taking a 2 Year LLB (Graduate Entry) course?</v>
      </c>
      <c r="C29" s="78" t="s">
        <v>6</v>
      </c>
      <c r="D29" s="193"/>
    </row>
    <row r="30" spans="1:12" ht="19.5" customHeight="1" x14ac:dyDescent="0.3">
      <c r="A30" s="90"/>
      <c r="B30" s="123" t="str">
        <f>IF(C28="Y", "Incorrect COA - Complete PTO &amp; DL COA Form", "For what year of study are you completing this COA?")</f>
        <v>For what year of study are you completing this COA?</v>
      </c>
      <c r="C30" s="79">
        <v>1</v>
      </c>
      <c r="D30" s="193"/>
    </row>
    <row r="31" spans="1:12" ht="19.5" customHeight="1" x14ac:dyDescent="0.3">
      <c r="A31" s="90"/>
      <c r="B31" s="123" t="str">
        <f>IF(C28="Y", "Incorrect COA - Complete PTO &amp; DL COA Form", "What does your SAR say for Dependancy status? Only answer I (Independent) or D (Dependent)")</f>
        <v>What does your SAR say for Dependancy status? Only answer I (Independent) or D (Dependent)</v>
      </c>
      <c r="C31" s="78" t="s">
        <v>7</v>
      </c>
      <c r="D31" s="193"/>
    </row>
    <row r="32" spans="1:12" ht="19.5" customHeight="1" x14ac:dyDescent="0.3">
      <c r="A32" s="90"/>
      <c r="B32" s="123" t="str">
        <f>IF(C28="Y", "Incorrect COA - Complete PTO &amp; DL COA Form", "What is your EFC on the top right of front page of SAR? Even zero must be entered")</f>
        <v>What is your EFC on the top right of front page of SAR? Even zero must be entered</v>
      </c>
      <c r="C32" s="80"/>
      <c r="D32" s="92"/>
    </row>
    <row r="33" spans="1:22" ht="19.5" customHeight="1" x14ac:dyDescent="0.3">
      <c r="A33" s="90"/>
      <c r="B33" s="123" t="str">
        <f>IF(C28="Y", "Incorrect COA - Complete PTO &amp; DL COA Form", "On your FAFSA Q98 what housing plans did you confirm?")</f>
        <v>On your FAFSA Q98 what housing plans did you confirm?</v>
      </c>
      <c r="C33" s="78" t="s">
        <v>211</v>
      </c>
      <c r="D33" s="92"/>
      <c r="E33" s="12" t="s">
        <v>30</v>
      </c>
      <c r="F33" s="20" t="s">
        <v>31</v>
      </c>
      <c r="G33" s="20" t="s">
        <v>32</v>
      </c>
      <c r="H33" s="4" t="s">
        <v>33</v>
      </c>
      <c r="J33" s="19" t="s">
        <v>149</v>
      </c>
    </row>
    <row r="34" spans="1:22" ht="19.5" customHeight="1" x14ac:dyDescent="0.3">
      <c r="A34" s="90"/>
      <c r="B34" s="123" t="str">
        <f>IF(C28="Y", "Incorrect COA - Complete PTO &amp; DL COA Form", "Enter the Tuition Fees - only write the figures - no £ sign")</f>
        <v>Enter the Tuition Fees - only write the figures - no £ sign</v>
      </c>
      <c r="C34" s="81"/>
      <c r="D34" s="92"/>
      <c r="E34" s="133">
        <f>C6</f>
        <v>1.4</v>
      </c>
      <c r="F34" s="134">
        <f>C34*E34*J35</f>
        <v>0</v>
      </c>
      <c r="G34" s="134">
        <f>D34</f>
        <v>0</v>
      </c>
      <c r="H34" s="4" t="s">
        <v>34</v>
      </c>
      <c r="J34" s="4">
        <v>1</v>
      </c>
    </row>
    <row r="35" spans="1:22" ht="19.5" customHeight="1" x14ac:dyDescent="0.3">
      <c r="A35" s="90"/>
      <c r="B35" s="123" t="str">
        <f>IF(C28="Y", "Incorrect COA - Complete PTO &amp; DL COA Form", "Enter how much of the tuition fees will be paid to Leicester by a sponsor (only enter £ OR $)")</f>
        <v>Enter how much of the tuition fees will be paid to Leicester by a sponsor (only enter £ OR $)</v>
      </c>
      <c r="C35" s="81"/>
      <c r="D35" s="82"/>
      <c r="E35" s="133">
        <f>C6</f>
        <v>1.4</v>
      </c>
      <c r="F35" s="134">
        <f>C35*E35</f>
        <v>0</v>
      </c>
      <c r="G35" s="134">
        <f>D35</f>
        <v>0</v>
      </c>
      <c r="H35" s="4" t="s">
        <v>35</v>
      </c>
      <c r="J35" s="4">
        <f>MAX(J38:U49)</f>
        <v>1</v>
      </c>
    </row>
    <row r="36" spans="1:22" ht="19.5" customHeight="1" x14ac:dyDescent="0.3">
      <c r="A36" s="90"/>
      <c r="B36" s="122" t="str">
        <f>IF(C28="Y","Incorrect COA - Complete PTO &amp; DL COA Form", "Enter how much has already been awarded by Leicester as a Scholarship,Fee Reduction or Bursary")</f>
        <v>Enter how much has already been awarded by Leicester as a Scholarship,Fee Reduction or Bursary</v>
      </c>
      <c r="C36" s="81"/>
      <c r="D36" s="194"/>
      <c r="E36" s="133">
        <f>C6</f>
        <v>1.4</v>
      </c>
      <c r="F36" s="134">
        <f>C36*E36*J35</f>
        <v>0</v>
      </c>
      <c r="G36" s="134">
        <f>D36</f>
        <v>0</v>
      </c>
      <c r="H36" s="4" t="s">
        <v>36</v>
      </c>
    </row>
    <row r="37" spans="1:22" ht="19.5" customHeight="1" x14ac:dyDescent="0.3">
      <c r="A37" s="90"/>
      <c r="B37" s="123" t="str">
        <f>IF(C28="Y", "Incorrect COA - Complete PTO &amp; DL COA Form", "Enter how much has been awarded by any other Scholarship or Financial Aid from the UK")</f>
        <v>Enter how much has been awarded by any other Scholarship or Financial Aid from the UK</v>
      </c>
      <c r="C37" s="81"/>
      <c r="D37" s="194"/>
      <c r="E37" s="133">
        <f>C6</f>
        <v>1.4</v>
      </c>
      <c r="F37" s="134">
        <f>C37*E37</f>
        <v>0</v>
      </c>
      <c r="G37" s="134">
        <f>D37</f>
        <v>0</v>
      </c>
      <c r="H37" s="4" t="s">
        <v>37</v>
      </c>
      <c r="J37" t="s">
        <v>137</v>
      </c>
      <c r="K37" t="s">
        <v>138</v>
      </c>
      <c r="L37" t="s">
        <v>139</v>
      </c>
      <c r="M37" t="s">
        <v>140</v>
      </c>
      <c r="N37" t="s">
        <v>141</v>
      </c>
      <c r="O37" t="s">
        <v>142</v>
      </c>
      <c r="P37" t="s">
        <v>143</v>
      </c>
      <c r="Q37" t="s">
        <v>144</v>
      </c>
      <c r="R37" t="s">
        <v>145</v>
      </c>
      <c r="S37" t="s">
        <v>146</v>
      </c>
      <c r="T37" t="s">
        <v>147</v>
      </c>
      <c r="U37" t="s">
        <v>148</v>
      </c>
      <c r="V37"/>
    </row>
    <row r="38" spans="1:22" ht="19.5" customHeight="1" thickBot="1" x14ac:dyDescent="0.35">
      <c r="A38" s="93"/>
      <c r="B38" s="124" t="str">
        <f>IF(C28="Y", "Incorrect COA - Complete PTO &amp; DL COA Form", "Enter how much has been awarded by any other Scholarship or Financial Aid from the USA")</f>
        <v>Enter how much has been awarded by any other Scholarship or Financial Aid from the USA</v>
      </c>
      <c r="C38" s="195"/>
      <c r="D38" s="83"/>
      <c r="E38" s="133">
        <f>C6</f>
        <v>1.4</v>
      </c>
      <c r="F38" s="134">
        <f>C38*E38</f>
        <v>0</v>
      </c>
      <c r="G38" s="134">
        <f>D38</f>
        <v>0</v>
      </c>
      <c r="H38" s="4" t="s">
        <v>38</v>
      </c>
      <c r="J38" s="220">
        <v>1</v>
      </c>
      <c r="K38" s="220">
        <v>1</v>
      </c>
      <c r="L38" s="220">
        <v>1</v>
      </c>
      <c r="M38" s="220">
        <v>1</v>
      </c>
      <c r="N38" s="220">
        <v>1</v>
      </c>
      <c r="O38" s="220">
        <v>1</v>
      </c>
      <c r="P38" s="220">
        <v>1</v>
      </c>
      <c r="Q38" s="220">
        <v>1</v>
      </c>
      <c r="R38" s="220">
        <v>1</v>
      </c>
      <c r="S38" s="220">
        <v>1</v>
      </c>
      <c r="T38" s="220">
        <v>1</v>
      </c>
      <c r="U38" s="220">
        <v>1</v>
      </c>
      <c r="V38" s="220" t="s">
        <v>132</v>
      </c>
    </row>
    <row r="39" spans="1:22" ht="19.5" customHeight="1" x14ac:dyDescent="0.35">
      <c r="A39" s="244" t="str">
        <f>IF($C$28="Y", G89, "")</f>
        <v/>
      </c>
      <c r="B39" s="244"/>
      <c r="C39" s="244"/>
      <c r="D39" s="244"/>
      <c r="F39" s="134"/>
      <c r="G39" s="134">
        <f>ROUNDUP(SUM(F35:G38),0)</f>
        <v>0</v>
      </c>
      <c r="H39" s="4" t="s">
        <v>39</v>
      </c>
      <c r="J39" s="220">
        <v>1</v>
      </c>
      <c r="K39" s="220">
        <v>1</v>
      </c>
      <c r="L39" s="220">
        <v>1</v>
      </c>
      <c r="M39" s="220">
        <v>1</v>
      </c>
      <c r="N39" s="220">
        <v>1</v>
      </c>
      <c r="O39" s="220">
        <v>1</v>
      </c>
      <c r="P39" s="220">
        <v>1</v>
      </c>
      <c r="Q39" s="220">
        <v>1</v>
      </c>
      <c r="R39" s="220">
        <v>1</v>
      </c>
      <c r="S39" s="220">
        <v>1</v>
      </c>
      <c r="T39" s="220">
        <v>1</v>
      </c>
      <c r="U39" s="220">
        <v>1</v>
      </c>
      <c r="V39" s="220" t="s">
        <v>175</v>
      </c>
    </row>
    <row r="40" spans="1:22" ht="19.5" customHeight="1" thickBot="1" x14ac:dyDescent="0.35">
      <c r="A40" s="178"/>
      <c r="B40" s="179"/>
      <c r="C40" s="196"/>
      <c r="D40" s="197"/>
      <c r="J40" s="220">
        <v>1</v>
      </c>
      <c r="K40" s="220">
        <v>1</v>
      </c>
      <c r="L40" s="220">
        <v>1</v>
      </c>
      <c r="M40" s="220">
        <v>1</v>
      </c>
      <c r="N40" s="220">
        <v>1</v>
      </c>
      <c r="O40" s="220">
        <v>1</v>
      </c>
      <c r="P40" s="220">
        <v>1</v>
      </c>
      <c r="Q40" s="220">
        <v>1</v>
      </c>
      <c r="R40" s="220">
        <v>1</v>
      </c>
      <c r="S40" s="220">
        <v>1</v>
      </c>
      <c r="T40" s="220">
        <v>1</v>
      </c>
      <c r="U40" s="220">
        <v>1</v>
      </c>
      <c r="V40" s="220" t="s">
        <v>176</v>
      </c>
    </row>
    <row r="41" spans="1:22" ht="19.5" customHeight="1" x14ac:dyDescent="0.4">
      <c r="A41" s="245" t="s">
        <v>156</v>
      </c>
      <c r="B41" s="246"/>
      <c r="C41" s="246"/>
      <c r="D41" s="247"/>
      <c r="J41" s="220">
        <v>1</v>
      </c>
      <c r="K41" s="220">
        <v>1</v>
      </c>
      <c r="L41" s="220">
        <v>1</v>
      </c>
      <c r="M41" s="220">
        <v>1</v>
      </c>
      <c r="N41" s="220">
        <v>1</v>
      </c>
      <c r="O41" s="220">
        <v>1</v>
      </c>
      <c r="P41" s="220">
        <v>1</v>
      </c>
      <c r="Q41" s="220">
        <v>1</v>
      </c>
      <c r="R41" s="220">
        <v>1</v>
      </c>
      <c r="S41" s="220">
        <v>1</v>
      </c>
      <c r="T41" s="220">
        <v>1</v>
      </c>
      <c r="U41" s="220">
        <v>1</v>
      </c>
      <c r="V41" s="220" t="s">
        <v>177</v>
      </c>
    </row>
    <row r="42" spans="1:22" ht="19.5" customHeight="1" thickBot="1" x14ac:dyDescent="0.35">
      <c r="A42" s="90"/>
      <c r="B42" s="40"/>
      <c r="C42" s="94"/>
      <c r="D42" s="95"/>
      <c r="E42" s="4" t="s">
        <v>40</v>
      </c>
      <c r="F42" s="8" t="s">
        <v>41</v>
      </c>
      <c r="G42" s="8" t="s">
        <v>188</v>
      </c>
      <c r="H42" s="4" t="s">
        <v>189</v>
      </c>
      <c r="J42" s="220">
        <v>1</v>
      </c>
      <c r="K42" s="220">
        <v>1</v>
      </c>
      <c r="L42" s="220">
        <v>1</v>
      </c>
      <c r="M42" s="220">
        <v>1</v>
      </c>
      <c r="N42" s="220">
        <v>1</v>
      </c>
      <c r="O42" s="220">
        <v>1</v>
      </c>
      <c r="P42" s="220">
        <v>1</v>
      </c>
      <c r="Q42" s="220">
        <v>1</v>
      </c>
      <c r="R42" s="220">
        <v>1</v>
      </c>
      <c r="S42" s="220">
        <v>1</v>
      </c>
      <c r="T42" s="220">
        <v>1</v>
      </c>
      <c r="U42" s="220">
        <v>1</v>
      </c>
      <c r="V42" s="220" t="s">
        <v>178</v>
      </c>
    </row>
    <row r="43" spans="1:22" ht="19.5" customHeight="1" x14ac:dyDescent="0.3">
      <c r="A43" s="109"/>
      <c r="B43" s="110" t="s">
        <v>209</v>
      </c>
      <c r="C43" s="221">
        <v>45</v>
      </c>
      <c r="D43" s="111"/>
      <c r="E43" s="67">
        <f>C8</f>
        <v>39</v>
      </c>
      <c r="F43" s="134">
        <f>C43*C6*E43*J35</f>
        <v>2456.9999999999995</v>
      </c>
      <c r="G43" s="134">
        <f>H43*C6*C43*J35</f>
        <v>3276</v>
      </c>
      <c r="H43" s="136">
        <f>C9</f>
        <v>52</v>
      </c>
      <c r="I43" s="4" t="s">
        <v>209</v>
      </c>
      <c r="J43" s="220">
        <v>1</v>
      </c>
      <c r="K43" s="220">
        <v>1</v>
      </c>
      <c r="L43" s="220">
        <v>1</v>
      </c>
      <c r="M43" s="220">
        <v>1</v>
      </c>
      <c r="N43" s="220">
        <v>1</v>
      </c>
      <c r="O43" s="220">
        <v>1</v>
      </c>
      <c r="P43" s="220">
        <v>1</v>
      </c>
      <c r="Q43" s="220">
        <v>1</v>
      </c>
      <c r="R43" s="220">
        <v>1</v>
      </c>
      <c r="S43" s="220">
        <v>1</v>
      </c>
      <c r="T43" s="220">
        <v>1</v>
      </c>
      <c r="U43" s="220">
        <v>1</v>
      </c>
      <c r="V43" s="220" t="s">
        <v>179</v>
      </c>
    </row>
    <row r="44" spans="1:22" ht="19.5" customHeight="1" x14ac:dyDescent="0.3">
      <c r="A44" s="90"/>
      <c r="B44" s="76" t="s">
        <v>210</v>
      </c>
      <c r="C44" s="143">
        <f>IF(C33="On Campus",165, IF(C33="Off Campus", 150, 0))</f>
        <v>165</v>
      </c>
      <c r="D44" s="95"/>
      <c r="E44" s="67">
        <f>C8</f>
        <v>39</v>
      </c>
      <c r="F44" s="134">
        <f>C45*C6*E44*J35</f>
        <v>3003</v>
      </c>
      <c r="G44" s="134">
        <f>H44*C6*C45*J35</f>
        <v>4004</v>
      </c>
      <c r="H44" s="137">
        <f>C9</f>
        <v>52</v>
      </c>
      <c r="I44" s="4" t="s">
        <v>213</v>
      </c>
      <c r="J44" s="220">
        <v>1</v>
      </c>
      <c r="K44" s="220">
        <v>1</v>
      </c>
      <c r="L44" s="220">
        <v>1</v>
      </c>
      <c r="M44" s="220">
        <v>1</v>
      </c>
      <c r="N44" s="220">
        <v>1</v>
      </c>
      <c r="O44" s="220">
        <v>1</v>
      </c>
      <c r="P44" s="220">
        <v>1</v>
      </c>
      <c r="Q44" s="220">
        <v>1</v>
      </c>
      <c r="R44" s="220">
        <v>1</v>
      </c>
      <c r="S44" s="220">
        <v>1</v>
      </c>
      <c r="T44" s="220">
        <v>1</v>
      </c>
      <c r="U44" s="220">
        <v>1</v>
      </c>
      <c r="V44" s="220" t="s">
        <v>180</v>
      </c>
    </row>
    <row r="45" spans="1:22" ht="19.5" customHeight="1" x14ac:dyDescent="0.3">
      <c r="A45" s="90"/>
      <c r="B45" s="76" t="s">
        <v>207</v>
      </c>
      <c r="C45" s="143">
        <v>55</v>
      </c>
      <c r="D45" s="95"/>
      <c r="E45" s="135">
        <f>C8</f>
        <v>39</v>
      </c>
      <c r="F45" s="134">
        <f>C46*C6*E45*J35</f>
        <v>1365</v>
      </c>
      <c r="G45" s="134">
        <f>H45*C6*C46*J35</f>
        <v>1820</v>
      </c>
      <c r="H45" s="137">
        <f>C9</f>
        <v>52</v>
      </c>
      <c r="I45" s="4" t="s">
        <v>214</v>
      </c>
      <c r="J45" s="220">
        <v>1</v>
      </c>
      <c r="K45" s="220">
        <v>1</v>
      </c>
      <c r="L45" s="220">
        <v>1</v>
      </c>
      <c r="M45" s="220">
        <v>1</v>
      </c>
      <c r="N45" s="220">
        <v>1</v>
      </c>
      <c r="O45" s="220">
        <v>1</v>
      </c>
      <c r="P45" s="220">
        <v>1</v>
      </c>
      <c r="Q45" s="220">
        <v>1</v>
      </c>
      <c r="R45" s="220">
        <v>1</v>
      </c>
      <c r="S45" s="220">
        <v>1</v>
      </c>
      <c r="T45" s="220">
        <v>1</v>
      </c>
      <c r="U45" s="220">
        <v>1</v>
      </c>
      <c r="V45" s="220" t="s">
        <v>181</v>
      </c>
    </row>
    <row r="46" spans="1:22" ht="19.5" customHeight="1" x14ac:dyDescent="0.3">
      <c r="A46" s="90"/>
      <c r="B46" s="76" t="s">
        <v>206</v>
      </c>
      <c r="C46" s="143">
        <v>25</v>
      </c>
      <c r="D46" s="95"/>
      <c r="E46" s="135">
        <f>C8</f>
        <v>39</v>
      </c>
      <c r="F46" s="134">
        <f>C47*C6*E46*J35</f>
        <v>1092</v>
      </c>
      <c r="G46" s="134">
        <f>H46*C6*C47*J35</f>
        <v>1456</v>
      </c>
      <c r="H46" s="142">
        <f>C9</f>
        <v>52</v>
      </c>
      <c r="I46" s="39" t="s">
        <v>215</v>
      </c>
      <c r="J46" s="220">
        <v>1</v>
      </c>
      <c r="K46" s="220">
        <v>1</v>
      </c>
      <c r="L46" s="220">
        <v>1</v>
      </c>
      <c r="M46" s="220">
        <v>1</v>
      </c>
      <c r="N46" s="220">
        <v>1</v>
      </c>
      <c r="O46" s="220">
        <v>1</v>
      </c>
      <c r="P46" s="220">
        <v>1</v>
      </c>
      <c r="Q46" s="220">
        <v>1</v>
      </c>
      <c r="R46" s="220">
        <v>1</v>
      </c>
      <c r="S46" s="220">
        <v>1</v>
      </c>
      <c r="T46" s="220">
        <v>1</v>
      </c>
      <c r="U46" s="220">
        <v>1</v>
      </c>
      <c r="V46" s="220" t="s">
        <v>182</v>
      </c>
    </row>
    <row r="47" spans="1:22" ht="19.5" customHeight="1" x14ac:dyDescent="0.3">
      <c r="A47" s="90"/>
      <c r="B47" s="76" t="s">
        <v>150</v>
      </c>
      <c r="C47" s="143">
        <v>20</v>
      </c>
      <c r="D47" s="95"/>
      <c r="E47" s="135">
        <f>C8</f>
        <v>39</v>
      </c>
      <c r="F47" s="134">
        <f>C48*C6*E47*J35</f>
        <v>2184</v>
      </c>
      <c r="G47" s="134">
        <f>H47*C6*C48*J35</f>
        <v>2912</v>
      </c>
      <c r="H47" s="137">
        <f>C9</f>
        <v>52</v>
      </c>
      <c r="I47" s="39" t="s">
        <v>216</v>
      </c>
      <c r="J47" s="220">
        <v>1</v>
      </c>
      <c r="K47" s="220">
        <v>1</v>
      </c>
      <c r="L47" s="220">
        <v>1</v>
      </c>
      <c r="M47" s="220">
        <v>1</v>
      </c>
      <c r="N47" s="220">
        <v>1</v>
      </c>
      <c r="O47" s="220">
        <v>1</v>
      </c>
      <c r="P47" s="220">
        <v>1</v>
      </c>
      <c r="Q47" s="220">
        <v>1</v>
      </c>
      <c r="R47" s="220">
        <v>1</v>
      </c>
      <c r="S47" s="220">
        <v>1</v>
      </c>
      <c r="T47" s="220">
        <v>1</v>
      </c>
      <c r="U47" s="220">
        <v>1</v>
      </c>
      <c r="V47" s="220" t="s">
        <v>183</v>
      </c>
    </row>
    <row r="48" spans="1:22" ht="19.5" customHeight="1" thickBot="1" x14ac:dyDescent="0.35">
      <c r="A48" s="93"/>
      <c r="B48" s="76" t="s">
        <v>151</v>
      </c>
      <c r="C48" s="143">
        <v>40</v>
      </c>
      <c r="D48" s="95"/>
      <c r="F48" s="8">
        <f>F45+F46+F47</f>
        <v>4641</v>
      </c>
      <c r="G48" s="8">
        <f>G45+G46+G47</f>
        <v>6188</v>
      </c>
      <c r="I48" s="39"/>
      <c r="J48" s="220">
        <v>1</v>
      </c>
      <c r="K48" s="220">
        <v>1</v>
      </c>
      <c r="L48" s="220">
        <v>1</v>
      </c>
      <c r="M48" s="220">
        <v>1</v>
      </c>
      <c r="N48" s="220">
        <v>1</v>
      </c>
      <c r="O48" s="220">
        <v>1</v>
      </c>
      <c r="P48" s="220">
        <v>1</v>
      </c>
      <c r="Q48" s="220">
        <v>1</v>
      </c>
      <c r="R48" s="220">
        <v>1</v>
      </c>
      <c r="S48" s="220">
        <v>1</v>
      </c>
      <c r="T48" s="220">
        <v>1</v>
      </c>
      <c r="U48" s="220">
        <v>1</v>
      </c>
      <c r="V48" s="220" t="s">
        <v>184</v>
      </c>
    </row>
    <row r="49" spans="1:22" ht="19.5" customHeight="1" thickBot="1" x14ac:dyDescent="0.35">
      <c r="A49" s="243"/>
      <c r="B49" s="112"/>
      <c r="C49" s="113"/>
      <c r="D49" s="114"/>
      <c r="E49" s="4">
        <v>39</v>
      </c>
      <c r="F49" s="8">
        <f>C44*C6*E49*J35</f>
        <v>9008.9999999999982</v>
      </c>
      <c r="G49" s="8">
        <f>H49*C6*C44*J35</f>
        <v>12012</v>
      </c>
      <c r="H49" s="21">
        <v>52</v>
      </c>
      <c r="I49" s="39" t="s">
        <v>210</v>
      </c>
      <c r="J49" s="220">
        <v>1</v>
      </c>
      <c r="K49" s="220">
        <v>1</v>
      </c>
      <c r="L49" s="220">
        <v>1</v>
      </c>
      <c r="M49" s="220">
        <v>1</v>
      </c>
      <c r="N49" s="220">
        <v>1</v>
      </c>
      <c r="O49" s="220">
        <v>1</v>
      </c>
      <c r="P49" s="220">
        <v>1</v>
      </c>
      <c r="Q49" s="220">
        <v>1</v>
      </c>
      <c r="R49" s="220">
        <v>1</v>
      </c>
      <c r="S49" s="220">
        <v>1</v>
      </c>
      <c r="T49" s="220">
        <v>1</v>
      </c>
      <c r="U49" s="220">
        <v>1</v>
      </c>
      <c r="V49" s="220" t="s">
        <v>185</v>
      </c>
    </row>
    <row r="50" spans="1:22" ht="19.5" customHeight="1" thickBot="1" x14ac:dyDescent="0.35"/>
    <row r="51" spans="1:22" ht="19.5" customHeight="1" x14ac:dyDescent="0.4">
      <c r="A51" s="245" t="s">
        <v>121</v>
      </c>
      <c r="B51" s="246"/>
      <c r="C51" s="246"/>
      <c r="D51" s="247"/>
      <c r="G51" s="8" t="s">
        <v>95</v>
      </c>
      <c r="H51" s="4" t="s">
        <v>97</v>
      </c>
    </row>
    <row r="52" spans="1:22" ht="19.5" customHeight="1" x14ac:dyDescent="0.3">
      <c r="A52" s="69"/>
      <c r="B52" s="91" t="s">
        <v>158</v>
      </c>
      <c r="C52" s="143">
        <v>2200</v>
      </c>
      <c r="D52" s="92"/>
      <c r="E52" s="133">
        <f>C6</f>
        <v>1.4</v>
      </c>
      <c r="F52" s="134">
        <f>C52*E52*J35</f>
        <v>3080</v>
      </c>
      <c r="G52" s="134">
        <f>F52</f>
        <v>3080</v>
      </c>
    </row>
    <row r="53" spans="1:22" ht="19.5" customHeight="1" x14ac:dyDescent="0.3">
      <c r="A53" s="90"/>
      <c r="B53" s="91" t="s">
        <v>157</v>
      </c>
      <c r="C53" s="143">
        <f>IF(C30=1, 820, 0)</f>
        <v>820</v>
      </c>
      <c r="D53" s="92"/>
      <c r="E53" s="133">
        <f>C6</f>
        <v>1.4</v>
      </c>
      <c r="F53" s="134">
        <f>IF($C$30=1, C53*E53, 0)</f>
        <v>1148</v>
      </c>
      <c r="G53" s="134">
        <f>F53</f>
        <v>1148</v>
      </c>
      <c r="I53" s="8"/>
    </row>
    <row r="54" spans="1:22" ht="19.5" customHeight="1" x14ac:dyDescent="0.3">
      <c r="A54" s="90"/>
      <c r="B54" s="91" t="s">
        <v>131</v>
      </c>
      <c r="C54" s="143">
        <f>IF(C30=1, 470, 0)</f>
        <v>470</v>
      </c>
      <c r="D54" s="92"/>
      <c r="E54" s="133">
        <f>C6</f>
        <v>1.4</v>
      </c>
      <c r="F54" s="134">
        <f>(IF($C$30&gt;1, 0, IF($C$27="PhD", $C$54*E54*4, IF($C$27="PGT", $C$54*E54*1, IF($C$27="UG",$C$54*E54*3, 0)))))</f>
        <v>658</v>
      </c>
      <c r="G54" s="134">
        <f>IF(C29="Y", (2*F54), F54)</f>
        <v>658</v>
      </c>
      <c r="I54" s="8"/>
    </row>
    <row r="55" spans="1:22" ht="19.5" customHeight="1" x14ac:dyDescent="0.3">
      <c r="A55" s="90"/>
      <c r="B55" s="91" t="s">
        <v>130</v>
      </c>
      <c r="C55" s="143">
        <f>IF(C30=1, 400, 0)</f>
        <v>400</v>
      </c>
      <c r="D55" s="105"/>
      <c r="E55" s="133">
        <f>C6</f>
        <v>1.4</v>
      </c>
      <c r="F55" s="134">
        <f>IF($C$30=1, C55*E55, 0)</f>
        <v>560</v>
      </c>
      <c r="G55" s="134">
        <f>F55</f>
        <v>560</v>
      </c>
    </row>
    <row r="56" spans="1:22" ht="19.5" customHeight="1" x14ac:dyDescent="0.3">
      <c r="A56" s="90"/>
      <c r="B56" s="91" t="str">
        <f>IF(C28="PhD","Additional PhD Research study costs (To Be Authorised)","")</f>
        <v/>
      </c>
      <c r="C56" s="231"/>
      <c r="D56" s="232" t="str">
        <f>IF(C27="PhD", 'Additional Costs'!E16, "")</f>
        <v/>
      </c>
      <c r="G56" s="134"/>
    </row>
    <row r="57" spans="1:22" ht="19.5" customHeight="1" thickBot="1" x14ac:dyDescent="0.35">
      <c r="A57" s="93"/>
      <c r="B57" s="112"/>
      <c r="C57" s="233"/>
      <c r="D57" s="234"/>
      <c r="F57" s="8"/>
      <c r="G57" s="8"/>
      <c r="H57" s="134">
        <f>SUM(G52:G57)</f>
        <v>5446</v>
      </c>
      <c r="I57" s="8"/>
    </row>
    <row r="58" spans="1:22" ht="19.5" customHeight="1" thickBot="1" x14ac:dyDescent="0.35">
      <c r="A58" s="8"/>
      <c r="B58" s="4"/>
      <c r="C58" s="4"/>
      <c r="D58" s="8"/>
      <c r="I58" s="8"/>
    </row>
    <row r="59" spans="1:22" ht="19.5" customHeight="1" x14ac:dyDescent="0.4">
      <c r="A59" s="245" t="s">
        <v>122</v>
      </c>
      <c r="B59" s="246"/>
      <c r="C59" s="246"/>
      <c r="D59" s="247"/>
    </row>
    <row r="60" spans="1:22" ht="19.5" customHeight="1" x14ac:dyDescent="0.4">
      <c r="A60" s="235"/>
      <c r="B60" s="22" t="s">
        <v>0</v>
      </c>
      <c r="C60" s="43" t="s">
        <v>46</v>
      </c>
      <c r="D60" s="53"/>
    </row>
    <row r="61" spans="1:22" ht="19.5" customHeight="1" x14ac:dyDescent="0.4">
      <c r="A61" s="87"/>
      <c r="B61" s="75" t="s">
        <v>51</v>
      </c>
      <c r="C61" s="126">
        <f>IF($C$28="Y", 0, F34)</f>
        <v>0</v>
      </c>
      <c r="D61" s="54"/>
      <c r="K61" s="1"/>
      <c r="L61" s="1"/>
    </row>
    <row r="62" spans="1:22" ht="19.5" customHeight="1" x14ac:dyDescent="0.4">
      <c r="A62" s="88"/>
      <c r="B62" s="75" t="s">
        <v>208</v>
      </c>
      <c r="C62" s="126">
        <f>IF($C$28="Y", 0, IF($C$27="PhD", G43+G49, IF($C$27="UG", F43+F49, IF($C$29="Y", F43+F49, G43+G49))))</f>
        <v>15288</v>
      </c>
      <c r="D62" s="54"/>
      <c r="F62" s="1"/>
      <c r="G62" s="19" t="s">
        <v>43</v>
      </c>
      <c r="H62" s="19" t="s">
        <v>44</v>
      </c>
      <c r="I62" s="1"/>
      <c r="J62" s="1" t="s">
        <v>45</v>
      </c>
      <c r="K62" s="4" t="s">
        <v>49</v>
      </c>
      <c r="L62" s="4" t="s">
        <v>50</v>
      </c>
      <c r="M62" s="198" t="s">
        <v>171</v>
      </c>
    </row>
    <row r="63" spans="1:22" ht="19.5" customHeight="1" x14ac:dyDescent="0.3">
      <c r="A63" s="88"/>
      <c r="B63" s="75" t="s">
        <v>207</v>
      </c>
      <c r="C63" s="126">
        <f>IF($C$28="Y", 0, IF($C$27="PhD", G44, IF($C$27="UG", F44, IF($C$29="Y", F44, G44))))</f>
        <v>4004</v>
      </c>
      <c r="D63" s="54"/>
      <c r="F63" s="4" t="s">
        <v>47</v>
      </c>
      <c r="G63" s="134">
        <f>C68</f>
        <v>30926</v>
      </c>
      <c r="H63" s="134">
        <f>G63</f>
        <v>30926</v>
      </c>
      <c r="J63" s="4" t="s">
        <v>48</v>
      </c>
      <c r="K63" s="23"/>
      <c r="L63" s="131">
        <f>K63*0.01</f>
        <v>0</v>
      </c>
    </row>
    <row r="64" spans="1:22" ht="19.5" customHeight="1" x14ac:dyDescent="0.3">
      <c r="A64" s="88"/>
      <c r="B64" s="75" t="s">
        <v>42</v>
      </c>
      <c r="C64" s="126">
        <f>IF($C$28="Y", 0, IF($C$27="PhD", G48, IF($C$27="UG", F48, IF($C$29="Y", F48, G48))))</f>
        <v>6188</v>
      </c>
      <c r="D64" s="54"/>
      <c r="F64" s="4" t="s">
        <v>52</v>
      </c>
      <c r="G64" s="134">
        <f>-C32</f>
        <v>0</v>
      </c>
      <c r="H64" s="8"/>
      <c r="J64" s="4" t="s">
        <v>53</v>
      </c>
      <c r="K64" s="115">
        <v>1.0569999999999999</v>
      </c>
      <c r="L64" s="132">
        <f>K64*0.01</f>
        <v>1.057E-2</v>
      </c>
    </row>
    <row r="65" spans="1:12" ht="19.5" customHeight="1" x14ac:dyDescent="0.3">
      <c r="A65" s="88"/>
      <c r="B65" s="75" t="s">
        <v>112</v>
      </c>
      <c r="C65" s="126">
        <f>IF($C$28="Y",0, H57)</f>
        <v>5446</v>
      </c>
      <c r="D65" s="54"/>
      <c r="F65" s="4" t="s">
        <v>200</v>
      </c>
      <c r="G65" s="134">
        <f>-G39</f>
        <v>0</v>
      </c>
      <c r="H65" s="134">
        <f>G65</f>
        <v>0</v>
      </c>
      <c r="J65" s="4" t="s">
        <v>54</v>
      </c>
      <c r="K65" s="115">
        <v>1.0569999999999999</v>
      </c>
      <c r="L65" s="132">
        <f>K65*0.01</f>
        <v>1.057E-2</v>
      </c>
    </row>
    <row r="66" spans="1:12" ht="19.5" customHeight="1" x14ac:dyDescent="0.3">
      <c r="A66" s="88"/>
      <c r="B66" s="125" t="str">
        <f>IF(C27="PhD","Additional PhD Research study costs (To Be Authorised)","")</f>
        <v/>
      </c>
      <c r="C66" s="127" t="str">
        <f>IF(C27="PhD",D56,"")</f>
        <v/>
      </c>
      <c r="D66" s="54"/>
      <c r="F66" s="4" t="s">
        <v>55</v>
      </c>
      <c r="G66" s="134">
        <f>SUM(G63:G65)</f>
        <v>30926</v>
      </c>
      <c r="H66" s="8"/>
      <c r="J66" s="4" t="s">
        <v>56</v>
      </c>
      <c r="K66" s="115">
        <v>4.2279999999999998</v>
      </c>
      <c r="L66" s="132">
        <f>K66*0.01</f>
        <v>4.2279999999999998E-2</v>
      </c>
    </row>
    <row r="67" spans="1:12" ht="19.5" customHeight="1" thickBot="1" x14ac:dyDescent="0.35">
      <c r="A67" s="88"/>
      <c r="B67" s="75"/>
      <c r="C67" s="24"/>
      <c r="D67" s="54"/>
      <c r="F67" s="4" t="s">
        <v>57</v>
      </c>
      <c r="G67" s="134">
        <f>IF(((IF((G66&gt;E24),E24,G66))&gt;0),(IF((G66&gt;E24),E24,G66)),0)</f>
        <v>0</v>
      </c>
      <c r="H67" s="8"/>
    </row>
    <row r="68" spans="1:12" ht="19.5" customHeight="1" x14ac:dyDescent="0.3">
      <c r="A68" s="88"/>
      <c r="B68" s="58" t="s">
        <v>60</v>
      </c>
      <c r="C68" s="128">
        <f>ROUNDDOWN(SUM(C61:C66),0)</f>
        <v>30926</v>
      </c>
      <c r="D68" s="55"/>
      <c r="G68" s="8"/>
      <c r="H68" s="8"/>
    </row>
    <row r="69" spans="1:12" ht="19.5" customHeight="1" x14ac:dyDescent="0.3">
      <c r="A69" s="89"/>
      <c r="B69" s="75" t="s">
        <v>62</v>
      </c>
      <c r="C69" s="126">
        <f>IF($C$28="Y", 0, G65)</f>
        <v>0</v>
      </c>
      <c r="D69" s="54"/>
      <c r="F69" s="4" t="s">
        <v>58</v>
      </c>
      <c r="G69" s="8"/>
      <c r="H69" s="134">
        <f>SUM(H63:H68)</f>
        <v>30926</v>
      </c>
    </row>
    <row r="70" spans="1:12" ht="19.5" customHeight="1" thickBot="1" x14ac:dyDescent="0.35">
      <c r="A70" s="88"/>
      <c r="B70" s="25" t="s">
        <v>63</v>
      </c>
      <c r="C70" s="129">
        <f>ROUNDDOWN(SUM(C68:C69),0)</f>
        <v>30926</v>
      </c>
      <c r="D70" s="54"/>
      <c r="F70" s="4" t="s">
        <v>59</v>
      </c>
      <c r="G70" s="8"/>
      <c r="H70" s="134">
        <f>E24+G24-G67</f>
        <v>20500</v>
      </c>
    </row>
    <row r="71" spans="1:12" ht="19.5" customHeight="1" thickTop="1" x14ac:dyDescent="0.3">
      <c r="A71" s="88"/>
      <c r="B71" s="45"/>
      <c r="C71" s="46"/>
      <c r="D71" s="54"/>
      <c r="F71" s="4" t="s">
        <v>61</v>
      </c>
      <c r="G71" s="31"/>
      <c r="H71" s="134">
        <f>IF((IF(H69&gt;H70,H70,H69)&gt;0),(IF(H69&gt;H70,H70,H69)),0)</f>
        <v>20500</v>
      </c>
    </row>
    <row r="72" spans="1:12" ht="19.5" customHeight="1" x14ac:dyDescent="0.4">
      <c r="A72" s="88"/>
      <c r="B72" s="47" t="s">
        <v>65</v>
      </c>
      <c r="C72" s="44"/>
      <c r="D72" s="54"/>
      <c r="G72" s="8"/>
      <c r="H72" s="8"/>
    </row>
    <row r="73" spans="1:12" ht="19.5" customHeight="1" x14ac:dyDescent="0.3">
      <c r="A73" s="88"/>
      <c r="B73" s="75" t="s">
        <v>67</v>
      </c>
      <c r="C73" s="126">
        <f>IF($C$28="Y",0, G67)</f>
        <v>0</v>
      </c>
      <c r="D73" s="54"/>
      <c r="F73" s="4" t="s">
        <v>64</v>
      </c>
      <c r="G73" s="8"/>
      <c r="H73" s="8"/>
    </row>
    <row r="74" spans="1:12" ht="19.5" customHeight="1" x14ac:dyDescent="0.3">
      <c r="A74" s="88"/>
      <c r="B74" s="75" t="s">
        <v>113</v>
      </c>
      <c r="C74" s="126">
        <f>IF($C$28="Y",0, H71)</f>
        <v>20500</v>
      </c>
      <c r="D74" s="54"/>
      <c r="F74" s="4" t="s">
        <v>47</v>
      </c>
      <c r="G74" s="134">
        <f>C68</f>
        <v>30926</v>
      </c>
      <c r="H74" s="8"/>
    </row>
    <row r="75" spans="1:12" ht="19.5" customHeight="1" x14ac:dyDescent="0.3">
      <c r="A75" s="88"/>
      <c r="B75" s="75" t="s">
        <v>96</v>
      </c>
      <c r="C75" s="126">
        <f>IF($C$27="UG", 0, IF(C29="Y", 0, G77))</f>
        <v>10426</v>
      </c>
      <c r="D75" s="54"/>
      <c r="F75" s="4" t="s">
        <v>66</v>
      </c>
      <c r="G75" s="134">
        <f>H65</f>
        <v>0</v>
      </c>
      <c r="H75" s="8"/>
    </row>
    <row r="76" spans="1:12" ht="19.5" customHeight="1" x14ac:dyDescent="0.3">
      <c r="A76" s="88"/>
      <c r="B76" s="75"/>
      <c r="C76" s="44"/>
      <c r="D76" s="56"/>
      <c r="F76" s="4" t="s">
        <v>68</v>
      </c>
      <c r="G76" s="134">
        <f>-G67-H71</f>
        <v>-20500</v>
      </c>
      <c r="H76" s="8"/>
    </row>
    <row r="77" spans="1:12" ht="19.5" customHeight="1" thickBot="1" x14ac:dyDescent="0.35">
      <c r="A77" s="70"/>
      <c r="B77" s="25" t="s">
        <v>70</v>
      </c>
      <c r="C77" s="139">
        <f>SUM(C73:C76)</f>
        <v>30926</v>
      </c>
      <c r="D77" s="54"/>
      <c r="F77" s="4" t="s">
        <v>69</v>
      </c>
      <c r="G77" s="134">
        <f>SUM(G74:G76)</f>
        <v>10426</v>
      </c>
      <c r="H77" s="8"/>
    </row>
    <row r="78" spans="1:12" ht="19.5" customHeight="1" thickTop="1" x14ac:dyDescent="0.3">
      <c r="A78" s="88"/>
      <c r="B78" s="45"/>
      <c r="C78" s="46"/>
      <c r="D78" s="54"/>
    </row>
    <row r="79" spans="1:12" ht="19.5" customHeight="1" thickBot="1" x14ac:dyDescent="0.4">
      <c r="A79" s="254" t="str">
        <f>IF(C66="",G83,G86)</f>
        <v>Based on the information you have provided you are allowed to borrow up to the values above</v>
      </c>
      <c r="B79" s="255"/>
      <c r="C79" s="255"/>
      <c r="D79" s="256"/>
    </row>
    <row r="80" spans="1:12" ht="19.5" customHeight="1" x14ac:dyDescent="0.35">
      <c r="A80" s="242"/>
      <c r="B80" s="45"/>
      <c r="C80" s="46"/>
      <c r="D80" s="46"/>
      <c r="K80" s="26"/>
      <c r="L80" s="26"/>
    </row>
    <row r="81" spans="1:47" ht="19.5" customHeight="1" thickBot="1" x14ac:dyDescent="0.4">
      <c r="E81" s="26"/>
      <c r="F81" s="26"/>
      <c r="G81" s="27"/>
      <c r="H81" s="26"/>
      <c r="I81" s="26"/>
      <c r="J81" s="26"/>
      <c r="K81" s="28"/>
      <c r="L81" s="28"/>
    </row>
    <row r="82" spans="1:47" ht="19.5" customHeight="1" x14ac:dyDescent="0.4">
      <c r="A82" s="248" t="s">
        <v>123</v>
      </c>
      <c r="B82" s="249"/>
      <c r="C82" s="249"/>
      <c r="D82" s="250"/>
      <c r="E82" s="28"/>
      <c r="F82" s="26"/>
      <c r="G82" s="29"/>
      <c r="H82" s="28"/>
      <c r="I82" s="28"/>
      <c r="J82" s="28"/>
      <c r="K82" s="28"/>
      <c r="L82" s="28"/>
    </row>
    <row r="83" spans="1:47" ht="19.5" customHeight="1" x14ac:dyDescent="0.35">
      <c r="A83" s="48" t="s">
        <v>73</v>
      </c>
      <c r="B83" s="49" t="s">
        <v>74</v>
      </c>
      <c r="C83" s="59" t="s">
        <v>75</v>
      </c>
      <c r="D83" s="108" t="s">
        <v>76</v>
      </c>
      <c r="E83" s="28"/>
      <c r="F83" s="26" t="s">
        <v>71</v>
      </c>
      <c r="G83" s="27" t="s">
        <v>98</v>
      </c>
      <c r="H83" s="28"/>
      <c r="I83" s="28"/>
      <c r="J83" s="28"/>
      <c r="K83" s="28"/>
      <c r="L83" s="28"/>
    </row>
    <row r="84" spans="1:47" ht="19.5" customHeight="1" x14ac:dyDescent="0.35">
      <c r="A84" s="140">
        <f>IF(C28="N",C73,"")</f>
        <v>0</v>
      </c>
      <c r="B84" s="141" t="str">
        <f>IF(C28="N","Subsidised","")</f>
        <v>Subsidised</v>
      </c>
      <c r="C84" s="51">
        <v>0</v>
      </c>
      <c r="D84" s="119">
        <f>(C84*(1-$L$64))</f>
        <v>0</v>
      </c>
      <c r="E84" s="28"/>
      <c r="F84" s="26" t="s">
        <v>99</v>
      </c>
      <c r="G84" s="29" t="s">
        <v>124</v>
      </c>
      <c r="H84" s="28"/>
      <c r="I84" s="28"/>
      <c r="J84" s="28"/>
    </row>
    <row r="85" spans="1:47" ht="19.5" customHeight="1" x14ac:dyDescent="0.35">
      <c r="A85" s="140">
        <f>IF(C28="N",C74,"")</f>
        <v>20500</v>
      </c>
      <c r="B85" s="141" t="str">
        <f>IF(C28="N","Unsubsudised","")</f>
        <v>Unsubsudised</v>
      </c>
      <c r="C85" s="51">
        <v>0</v>
      </c>
      <c r="D85" s="120">
        <f>(C85*(1-$L$65))</f>
        <v>0</v>
      </c>
      <c r="F85" s="26" t="s">
        <v>72</v>
      </c>
      <c r="G85" s="30" t="s">
        <v>125</v>
      </c>
    </row>
    <row r="86" spans="1:47" ht="19.5" customHeight="1" x14ac:dyDescent="0.35">
      <c r="A86" s="140">
        <f>ROUNDDOWN(IF(C28="N",($C$77-$D$84-$D$85)*(100/(100-$K$66)),""),0)</f>
        <v>32291</v>
      </c>
      <c r="B86" s="141" t="str">
        <f>IF(C28="N","PLUS Loan (Adjusted up to include all fees)","")</f>
        <v>PLUS Loan (Adjusted up to include all fees)</v>
      </c>
      <c r="C86" s="52">
        <v>0</v>
      </c>
      <c r="D86" s="120">
        <f>(C86*(1-$L$66))</f>
        <v>0</v>
      </c>
      <c r="F86" s="26" t="s">
        <v>90</v>
      </c>
      <c r="G86" s="29" t="s">
        <v>117</v>
      </c>
    </row>
    <row r="87" spans="1:47" ht="19.5" customHeight="1" x14ac:dyDescent="0.35">
      <c r="A87" s="140">
        <f>C77</f>
        <v>30926</v>
      </c>
      <c r="B87" s="50" t="str">
        <f>IF(C28="N","Private Loan","")</f>
        <v>Private Loan</v>
      </c>
      <c r="C87" s="51">
        <v>0</v>
      </c>
      <c r="D87" s="120">
        <f>C87</f>
        <v>0</v>
      </c>
      <c r="F87" s="26"/>
      <c r="G87" s="29"/>
    </row>
    <row r="88" spans="1:47" ht="19.5" customHeight="1" thickBot="1" x14ac:dyDescent="0.4">
      <c r="A88" s="238"/>
      <c r="B88" s="239" t="s">
        <v>77</v>
      </c>
      <c r="C88" s="240">
        <f>SUM(C84:C87)</f>
        <v>0</v>
      </c>
      <c r="D88" s="241">
        <f>SUM(D84:D87)</f>
        <v>0</v>
      </c>
      <c r="F88" s="26" t="s">
        <v>100</v>
      </c>
      <c r="G88" s="29" t="s">
        <v>101</v>
      </c>
    </row>
    <row r="89" spans="1:47" ht="19.5" customHeight="1" x14ac:dyDescent="0.35">
      <c r="A89" s="73"/>
      <c r="B89" s="58"/>
      <c r="C89" s="59"/>
      <c r="D89" s="59"/>
      <c r="F89" s="26" t="s">
        <v>136</v>
      </c>
      <c r="G89" s="29" t="s">
        <v>187</v>
      </c>
    </row>
    <row r="90" spans="1:47" ht="19.5" customHeight="1" x14ac:dyDescent="0.3">
      <c r="A90" s="73"/>
      <c r="B90" s="60"/>
      <c r="C90" s="201"/>
      <c r="D90" s="201"/>
    </row>
    <row r="91" spans="1:47" ht="19.5" customHeight="1" x14ac:dyDescent="0.35">
      <c r="A91" s="236" t="str">
        <f>IF(C28="Y","",G85)</f>
        <v xml:space="preserve">We will check the information you have provided with US Dept of Education regulations and confirm the value of loans we can originate for you. </v>
      </c>
      <c r="B91" s="237"/>
      <c r="C91" s="201"/>
      <c r="D91" s="201"/>
    </row>
    <row r="92" spans="1:47" ht="19.5" customHeight="1" thickBot="1" x14ac:dyDescent="0.4">
      <c r="A92" s="121" t="str">
        <f>IF(C87=0, IF(C28="N",G84,G89), "")</f>
        <v>If everything is correct we will originate the loans you are eligible for and issue a certificate for your visa application.</v>
      </c>
      <c r="AC92" s="202"/>
      <c r="AD92" s="202"/>
      <c r="AE92" s="202"/>
      <c r="AF92" s="202"/>
      <c r="AG92" s="202"/>
      <c r="AH92" s="202"/>
      <c r="AI92" s="202"/>
      <c r="AJ92" s="202"/>
      <c r="AK92" s="202"/>
      <c r="AL92" s="202"/>
      <c r="AM92" s="202"/>
      <c r="AN92" s="202"/>
      <c r="AO92" s="202"/>
      <c r="AP92" s="202"/>
      <c r="AQ92" s="202"/>
      <c r="AR92" s="202"/>
      <c r="AS92" s="202"/>
      <c r="AT92" s="202"/>
      <c r="AU92" s="202"/>
    </row>
    <row r="93" spans="1:47" ht="19.5" customHeight="1" x14ac:dyDescent="0.4">
      <c r="A93" s="245" t="s">
        <v>169</v>
      </c>
      <c r="B93" s="246"/>
      <c r="C93" s="246"/>
      <c r="D93" s="247"/>
    </row>
    <row r="94" spans="1:47" s="202" customFormat="1" ht="19.5" customHeight="1" x14ac:dyDescent="0.3">
      <c r="A94" s="15"/>
      <c r="B94" s="163"/>
      <c r="C94" s="164"/>
      <c r="D94" s="165"/>
      <c r="E94" s="4"/>
      <c r="F94" s="4"/>
      <c r="G94" s="4"/>
      <c r="H94" s="4"/>
      <c r="I94" s="4"/>
      <c r="J94" s="4"/>
      <c r="K94" s="4"/>
      <c r="L94" s="4"/>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row>
    <row r="95" spans="1:47" ht="15.6" x14ac:dyDescent="0.3">
      <c r="A95" s="15" t="s">
        <v>164</v>
      </c>
      <c r="B95" s="18" t="s">
        <v>167</v>
      </c>
      <c r="C95" s="164"/>
      <c r="D95" s="165"/>
    </row>
    <row r="96" spans="1:47" ht="15.6" x14ac:dyDescent="0.3">
      <c r="A96" s="15" t="s">
        <v>165</v>
      </c>
      <c r="B96" s="18" t="s">
        <v>168</v>
      </c>
      <c r="C96" s="164"/>
      <c r="D96" s="165"/>
    </row>
    <row r="97" spans="1:47" ht="15.6" x14ac:dyDescent="0.3">
      <c r="A97" s="15"/>
      <c r="B97" s="166" t="s">
        <v>166</v>
      </c>
      <c r="C97" s="167" t="s">
        <v>8</v>
      </c>
      <c r="D97" s="165"/>
    </row>
    <row r="98" spans="1:47" ht="15.6" x14ac:dyDescent="0.3">
      <c r="A98" s="16" t="str">
        <f>IF(C97="Y","Gaurantor Name","")</f>
        <v>Gaurantor Name</v>
      </c>
      <c r="B98" s="18" t="s">
        <v>167</v>
      </c>
      <c r="C98" s="164"/>
      <c r="D98" s="165"/>
    </row>
    <row r="99" spans="1:47" ht="16.2" thickBot="1" x14ac:dyDescent="0.35">
      <c r="A99" s="168" t="str">
        <f>IF(C97="Y","Gaurantor Address","")</f>
        <v>Gaurantor Address</v>
      </c>
      <c r="B99" s="169" t="s">
        <v>168</v>
      </c>
      <c r="C99" s="170"/>
      <c r="D99" s="171"/>
    </row>
    <row r="100" spans="1:47" ht="18.600000000000001" thickBot="1" x14ac:dyDescent="0.4">
      <c r="A100" s="203" t="str">
        <f>IF(C28="N", IF(C87&gt;0, G88, ""))</f>
        <v/>
      </c>
    </row>
    <row r="101" spans="1:47" ht="39" customHeight="1" x14ac:dyDescent="0.4">
      <c r="A101" s="248" t="s">
        <v>196</v>
      </c>
      <c r="B101" s="249"/>
      <c r="C101" s="249"/>
      <c r="D101" s="250"/>
      <c r="Z101" s="202"/>
      <c r="AA101" s="202"/>
      <c r="AB101" s="202"/>
    </row>
    <row r="102" spans="1:47" ht="15.6" customHeight="1" x14ac:dyDescent="0.3">
      <c r="A102" s="251" t="s">
        <v>197</v>
      </c>
      <c r="B102" s="252"/>
      <c r="C102" s="252"/>
      <c r="D102" s="253"/>
      <c r="P102" s="202"/>
      <c r="Q102" s="202"/>
      <c r="R102" s="202"/>
      <c r="S102" s="202"/>
      <c r="T102" s="202"/>
      <c r="U102" s="202"/>
      <c r="V102" s="202"/>
      <c r="W102" s="202"/>
      <c r="X102" s="202"/>
      <c r="Y102" s="202"/>
    </row>
    <row r="103" spans="1:47" ht="19.5" customHeight="1" x14ac:dyDescent="0.3">
      <c r="A103" s="228"/>
      <c r="B103" s="229"/>
      <c r="C103" s="229"/>
      <c r="D103" s="230"/>
      <c r="E103" s="67"/>
      <c r="F103" s="67"/>
      <c r="G103" s="67"/>
      <c r="H103" s="67"/>
      <c r="I103" s="67"/>
      <c r="J103" s="67"/>
      <c r="K103" s="67"/>
      <c r="L103" s="67"/>
      <c r="M103" s="202"/>
      <c r="N103" s="202"/>
      <c r="O103" s="202"/>
    </row>
    <row r="104" spans="1:47" ht="19.5" customHeight="1" x14ac:dyDescent="0.3">
      <c r="A104" s="228"/>
      <c r="B104" s="229"/>
      <c r="C104" s="229"/>
      <c r="D104" s="230"/>
    </row>
    <row r="105" spans="1:47" ht="19.5" customHeight="1" x14ac:dyDescent="0.35">
      <c r="A105" s="228"/>
      <c r="B105" s="229"/>
      <c r="C105" s="229"/>
      <c r="D105" s="230"/>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row>
    <row r="106" spans="1:47" ht="19.5" customHeight="1" x14ac:dyDescent="0.35">
      <c r="A106" s="228"/>
      <c r="B106" s="229"/>
      <c r="C106" s="229"/>
      <c r="D106" s="230"/>
      <c r="P106" s="204"/>
      <c r="Q106" s="204"/>
      <c r="R106" s="204"/>
      <c r="S106" s="204"/>
      <c r="T106" s="204"/>
      <c r="U106" s="204"/>
      <c r="V106" s="204"/>
      <c r="W106" s="204"/>
      <c r="X106" s="204"/>
      <c r="Y106" s="204"/>
    </row>
    <row r="107" spans="1:47" s="204" customFormat="1" ht="19.5" customHeight="1" x14ac:dyDescent="0.35">
      <c r="A107" s="224"/>
      <c r="B107" s="200"/>
      <c r="C107" s="72"/>
      <c r="D107" s="223"/>
      <c r="E107" s="30"/>
      <c r="F107" s="30"/>
      <c r="G107" s="30"/>
      <c r="H107" s="30"/>
      <c r="I107" s="30"/>
      <c r="J107" s="30"/>
      <c r="K107" s="30"/>
      <c r="L107" s="30"/>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row>
    <row r="108" spans="1:47" ht="16.2" thickBot="1" x14ac:dyDescent="0.35">
      <c r="A108" s="225" t="s">
        <v>190</v>
      </c>
      <c r="B108" s="169" t="s">
        <v>167</v>
      </c>
      <c r="C108" s="71" t="s">
        <v>191</v>
      </c>
      <c r="D108" s="226" t="s">
        <v>192</v>
      </c>
    </row>
  </sheetData>
  <sheetProtection algorithmName="SHA-512" hashValue="hWVJ3DtarO7BjWBfu3uwUQ+ZwuokkSsGHDiSXDXVf6Dl+NsptA3iZlJZjZ8526seXtc18qUwlNR5V3xrsTEQaw==" saltValue="ebZOd7KkyD0gmIv2B8SNcg==" spinCount="100000" sheet="1" selectLockedCells="1"/>
  <mergeCells count="9">
    <mergeCell ref="A93:D93"/>
    <mergeCell ref="A102:D102"/>
    <mergeCell ref="A79:D79"/>
    <mergeCell ref="A101:D101"/>
    <mergeCell ref="A39:D39"/>
    <mergeCell ref="A51:D51"/>
    <mergeCell ref="A41:D41"/>
    <mergeCell ref="A59:D59"/>
    <mergeCell ref="A82:D82"/>
  </mergeCells>
  <conditionalFormatting sqref="B27 B107:C107 C108 B109:C3917 B52:C57 A51 B40:C40 B42:C49 A41 A79 A101 B80:C80 B83:C91 A82 B60:C78 A59 B28:C38">
    <cfRule type="cellIs" dxfId="6" priority="15" stopIfTrue="1" operator="equal">
      <formula>"Incorrect COA - Complete PTO &amp; DL COA FORM"</formula>
    </cfRule>
  </conditionalFormatting>
  <conditionalFormatting sqref="A93 B94:C99">
    <cfRule type="cellIs" dxfId="5" priority="4" stopIfTrue="1" operator="equal">
      <formula>"Incorrect COA - Complete PTO &amp; DL COA FORM"</formula>
    </cfRule>
  </conditionalFormatting>
  <conditionalFormatting sqref="B108">
    <cfRule type="cellIs" dxfId="4" priority="2" stopIfTrue="1" operator="equal">
      <formula>"Incorrect COA - Complete PTO &amp; DL COA FORM"</formula>
    </cfRule>
  </conditionalFormatting>
  <conditionalFormatting sqref="D108">
    <cfRule type="cellIs" dxfId="3" priority="1" stopIfTrue="1" operator="equal">
      <formula>"Incorrect COA - Complete PTO &amp; DL COA FORM"</formula>
    </cfRule>
  </conditionalFormatting>
  <dataValidations count="7">
    <dataValidation type="list" allowBlank="1" showInputMessage="1" showErrorMessage="1" sqref="C65554 C31 C983058 C917522 C851986 C786450 C720914 C655378 C589842 C524306 C458770 C393234 C327698 C262162 C196626 C131090" xr:uid="{00000000-0002-0000-0000-000000000000}">
      <formula1>$E$10:$E$11</formula1>
    </dataValidation>
    <dataValidation type="list" allowBlank="1" showInputMessage="1" showErrorMessage="1" sqref="C30" xr:uid="{00000000-0002-0000-0000-000001000000}">
      <formula1>G$10:G$13</formula1>
    </dataValidation>
    <dataValidation type="list" allowBlank="1" showInputMessage="1" showErrorMessage="1" sqref="C27" xr:uid="{00000000-0002-0000-0000-000002000000}">
      <formula1>$F$10:$F$12</formula1>
    </dataValidation>
    <dataValidation type="list" allowBlank="1" showInputMessage="1" showErrorMessage="1" sqref="C28:C29" xr:uid="{00000000-0002-0000-0000-000003000000}">
      <formula1>$H$10:$H$11</formula1>
    </dataValidation>
    <dataValidation type="list" allowBlank="1" showInputMessage="1" showErrorMessage="1" sqref="C983057:D983057 C917521:D917521 C851985:D851985 C786449:D786449 C720913:D720913 C655377:D655377 C589841:D589841 C524305:D524305 C458769:D458769 C393233:D393233 C327697:D327697 C262161:D262161 C196625:D196625 C131089:D131089 C65553:D65553" xr:uid="{00000000-0002-0000-0000-000004000000}">
      <formula1>$G$10:$G$18</formula1>
    </dataValidation>
    <dataValidation type="list" allowBlank="1" showInputMessage="1" showErrorMessage="1" sqref="C97" xr:uid="{00000000-0002-0000-0000-000005000000}">
      <formula1>F38:F39</formula1>
    </dataValidation>
    <dataValidation type="list" allowBlank="1" showInputMessage="1" showErrorMessage="1" sqref="C33" xr:uid="{415ACF98-71D9-4590-9B1D-7BDA9117BCC9}">
      <formula1>$I$10:$I$11</formula1>
    </dataValidation>
  </dataValidations>
  <pageMargins left="0.70866141732283472" right="0.59055118110236227" top="0.35433070866141736" bottom="0.39370078740157483" header="0.19685039370078741" footer="0.31496062992125984"/>
  <pageSetup paperSize="9" scale="47"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7"/>
  <sheetViews>
    <sheetView zoomScale="75" zoomScaleNormal="75" workbookViewId="0">
      <selection activeCell="A9" sqref="A9"/>
    </sheetView>
  </sheetViews>
  <sheetFormatPr defaultColWidth="9.109375" defaultRowHeight="14.4" x14ac:dyDescent="0.3"/>
  <cols>
    <col min="1" max="1" width="42.44140625" style="31" customWidth="1"/>
    <col min="2" max="2" width="20" style="31" customWidth="1"/>
    <col min="3" max="3" width="17.6640625" style="31" customWidth="1"/>
    <col min="4" max="4" width="13" style="31" customWidth="1"/>
    <col min="5" max="5" width="12.33203125" style="31" customWidth="1"/>
    <col min="6" max="6" width="15.109375" style="31" bestFit="1" customWidth="1"/>
    <col min="7" max="16384" width="9.109375" style="31"/>
  </cols>
  <sheetData>
    <row r="1" spans="1:6" ht="21" x14ac:dyDescent="0.4">
      <c r="A1" s="63" t="s">
        <v>205</v>
      </c>
    </row>
    <row r="2" spans="1:6" ht="21" x14ac:dyDescent="0.4">
      <c r="A2" s="63"/>
    </row>
    <row r="3" spans="1:6" ht="21" x14ac:dyDescent="0.4">
      <c r="A3" s="64" t="s">
        <v>126</v>
      </c>
      <c r="C3" s="31" t="s">
        <v>83</v>
      </c>
      <c r="D3" s="57">
        <f>'COA Spreadsheet'!C6</f>
        <v>1.4</v>
      </c>
    </row>
    <row r="4" spans="1:6" x14ac:dyDescent="0.3">
      <c r="A4" s="65"/>
      <c r="D4" s="57"/>
    </row>
    <row r="5" spans="1:6" s="66" customFormat="1" ht="141" customHeight="1" x14ac:dyDescent="0.3">
      <c r="A5" s="257" t="s">
        <v>159</v>
      </c>
      <c r="B5" s="258"/>
      <c r="C5" s="258"/>
      <c r="D5" s="258"/>
      <c r="E5" s="259"/>
    </row>
    <row r="6" spans="1:6" s="66" customFormat="1" ht="17.25" customHeight="1" x14ac:dyDescent="0.3">
      <c r="A6" s="116"/>
      <c r="B6" s="117"/>
      <c r="C6" s="117"/>
      <c r="D6" s="117"/>
      <c r="E6" s="117"/>
    </row>
    <row r="7" spans="1:6" s="66" customFormat="1" ht="18" x14ac:dyDescent="0.35">
      <c r="A7" s="260" t="s">
        <v>127</v>
      </c>
      <c r="B7" s="260"/>
      <c r="C7" s="260"/>
      <c r="D7" s="260"/>
      <c r="E7" s="260"/>
      <c r="F7" s="260"/>
    </row>
    <row r="8" spans="1:6" s="66" customFormat="1" ht="26.25" customHeight="1" x14ac:dyDescent="0.3">
      <c r="A8" s="32" t="s">
        <v>79</v>
      </c>
      <c r="B8" s="32" t="s">
        <v>82</v>
      </c>
      <c r="C8" s="33" t="s">
        <v>94</v>
      </c>
      <c r="D8" s="33" t="s">
        <v>160</v>
      </c>
      <c r="E8" s="33" t="s">
        <v>93</v>
      </c>
      <c r="F8" s="34" t="s">
        <v>92</v>
      </c>
    </row>
    <row r="9" spans="1:6" s="66" customFormat="1" ht="17.25" customHeight="1" x14ac:dyDescent="0.3">
      <c r="A9" s="103" t="s">
        <v>201</v>
      </c>
      <c r="B9" s="103" t="s">
        <v>202</v>
      </c>
      <c r="C9" s="38">
        <v>0</v>
      </c>
      <c r="D9" s="144">
        <v>0</v>
      </c>
      <c r="E9" s="145">
        <f>(C9*$D$3)+(D9)</f>
        <v>0</v>
      </c>
      <c r="F9" s="35"/>
    </row>
    <row r="10" spans="1:6" s="66" customFormat="1" ht="17.25" customHeight="1" x14ac:dyDescent="0.3">
      <c r="A10" s="103" t="s">
        <v>201</v>
      </c>
      <c r="B10" s="103" t="s">
        <v>80</v>
      </c>
      <c r="C10" s="38">
        <v>0</v>
      </c>
      <c r="D10" s="144">
        <v>0</v>
      </c>
      <c r="E10" s="145">
        <f t="shared" ref="E10:E15" si="0">(C10*$D$3)+(D10)</f>
        <v>0</v>
      </c>
      <c r="F10" s="36"/>
    </row>
    <row r="11" spans="1:6" s="66" customFormat="1" ht="17.25" customHeight="1" x14ac:dyDescent="0.3">
      <c r="A11" s="103" t="s">
        <v>201</v>
      </c>
      <c r="B11" s="103" t="s">
        <v>81</v>
      </c>
      <c r="C11" s="38">
        <v>0</v>
      </c>
      <c r="D11" s="144">
        <v>0</v>
      </c>
      <c r="E11" s="145">
        <f t="shared" si="0"/>
        <v>0</v>
      </c>
      <c r="F11" s="36"/>
    </row>
    <row r="12" spans="1:6" s="66" customFormat="1" x14ac:dyDescent="0.3">
      <c r="A12" s="103"/>
      <c r="B12" s="103"/>
      <c r="C12" s="38"/>
      <c r="D12" s="144"/>
      <c r="E12" s="145">
        <f t="shared" si="0"/>
        <v>0</v>
      </c>
      <c r="F12" s="36"/>
    </row>
    <row r="13" spans="1:6" s="66" customFormat="1" x14ac:dyDescent="0.3">
      <c r="A13" s="103"/>
      <c r="B13" s="103"/>
      <c r="C13" s="38"/>
      <c r="D13" s="144"/>
      <c r="E13" s="145">
        <f t="shared" si="0"/>
        <v>0</v>
      </c>
      <c r="F13" s="36"/>
    </row>
    <row r="14" spans="1:6" s="66" customFormat="1" x14ac:dyDescent="0.3">
      <c r="A14" s="103"/>
      <c r="B14" s="103"/>
      <c r="C14" s="38"/>
      <c r="D14" s="144"/>
      <c r="E14" s="145">
        <f t="shared" si="0"/>
        <v>0</v>
      </c>
      <c r="F14" s="36"/>
    </row>
    <row r="15" spans="1:6" x14ac:dyDescent="0.3">
      <c r="A15" s="103"/>
      <c r="B15" s="103"/>
      <c r="C15" s="38"/>
      <c r="D15" s="144"/>
      <c r="E15" s="145">
        <f t="shared" si="0"/>
        <v>0</v>
      </c>
      <c r="F15" s="36"/>
    </row>
    <row r="16" spans="1:6" x14ac:dyDescent="0.3">
      <c r="A16" s="146" t="s">
        <v>128</v>
      </c>
      <c r="B16" s="146"/>
      <c r="C16" s="147"/>
      <c r="D16" s="147"/>
      <c r="E16" s="145">
        <f>SUM(E9:E15)</f>
        <v>0</v>
      </c>
      <c r="F16" s="37"/>
    </row>
    <row r="17" spans="1:5" ht="18.75" customHeight="1" x14ac:dyDescent="0.3">
      <c r="A17" s="148"/>
      <c r="B17" s="148"/>
      <c r="C17" s="149"/>
      <c r="D17" s="150"/>
      <c r="E17" s="118"/>
    </row>
  </sheetData>
  <sheetProtection algorithmName="SHA-512" hashValue="e1FyeBQzp4Bdg5ByOLXHoOTVyZElTQ6vAyFNg8sfnvYPopO/ON1AlOuoSslB5+pAiMK3+lMpNlSMnSIcUixXZQ==" saltValue="6HA1MgQ6o+oM6WOg4sJ4yg==" spinCount="100000" sheet="1" objects="1" scenarios="1" selectLockedCells="1"/>
  <mergeCells count="2">
    <mergeCell ref="A5:E5"/>
    <mergeCell ref="A7:F7"/>
  </mergeCells>
  <pageMargins left="0.70866141732283472"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3"/>
  <sheetViews>
    <sheetView zoomScale="75" zoomScaleNormal="75" workbookViewId="0">
      <selection activeCell="B36" sqref="B36"/>
    </sheetView>
  </sheetViews>
  <sheetFormatPr defaultColWidth="9.109375" defaultRowHeight="14.4" x14ac:dyDescent="0.3"/>
  <cols>
    <col min="1" max="1" width="127.6640625" style="215" bestFit="1" customWidth="1"/>
    <col min="2" max="2" width="13.33203125" style="215" bestFit="1" customWidth="1"/>
    <col min="3" max="3" width="94.88671875" style="215" customWidth="1"/>
    <col min="4" max="6" width="9.109375" style="31"/>
    <col min="7" max="7" width="0" style="31" hidden="1" customWidth="1"/>
    <col min="8" max="16384" width="9.109375" style="31"/>
  </cols>
  <sheetData>
    <row r="1" spans="1:7" ht="21" x14ac:dyDescent="0.4">
      <c r="A1" s="151" t="s">
        <v>110</v>
      </c>
      <c r="B1" s="205"/>
      <c r="C1" s="206"/>
    </row>
    <row r="2" spans="1:7" ht="18" x14ac:dyDescent="0.35">
      <c r="A2" s="154" t="s">
        <v>84</v>
      </c>
      <c r="B2" s="158"/>
      <c r="C2" s="159"/>
      <c r="G2" s="31" t="s">
        <v>118</v>
      </c>
    </row>
    <row r="3" spans="1:7" ht="18" x14ac:dyDescent="0.35">
      <c r="A3" s="154" t="s">
        <v>85</v>
      </c>
      <c r="B3" s="158"/>
      <c r="C3" s="159"/>
      <c r="G3" s="207" t="s">
        <v>8</v>
      </c>
    </row>
    <row r="4" spans="1:7" x14ac:dyDescent="0.3">
      <c r="A4" s="208"/>
      <c r="B4" s="158"/>
      <c r="C4" s="159"/>
      <c r="G4" s="207" t="s">
        <v>6</v>
      </c>
    </row>
    <row r="5" spans="1:7" x14ac:dyDescent="0.3">
      <c r="A5" s="208"/>
      <c r="B5" s="158" t="s">
        <v>86</v>
      </c>
      <c r="C5" s="159" t="s">
        <v>103</v>
      </c>
    </row>
    <row r="6" spans="1:7" ht="15.6" x14ac:dyDescent="0.3">
      <c r="A6" s="209" t="s">
        <v>163</v>
      </c>
      <c r="B6" s="158" t="s">
        <v>87</v>
      </c>
      <c r="C6" s="210"/>
    </row>
    <row r="7" spans="1:7" x14ac:dyDescent="0.3">
      <c r="A7" s="160" t="s">
        <v>170</v>
      </c>
      <c r="B7" s="217" t="s">
        <v>8</v>
      </c>
      <c r="C7" s="156"/>
    </row>
    <row r="8" spans="1:7" ht="15.6" x14ac:dyDescent="0.3">
      <c r="A8" s="161" t="str">
        <f>IF(B7="Y", "Have you completed Section 1 including your SSN on the CoA spreadsheet?", "")</f>
        <v>Have you completed Section 1 including your SSN on the CoA spreadsheet?</v>
      </c>
      <c r="B8" s="62" t="s">
        <v>6</v>
      </c>
      <c r="C8" s="162" t="str">
        <f>IF(B7="N", "", IF((B8="n"),"Please go back to the spreadsheet and enter it or we cannot process your application",""))</f>
        <v>Please go back to the spreadsheet and enter it or we cannot process your application</v>
      </c>
    </row>
    <row r="9" spans="1:7" ht="15.6" x14ac:dyDescent="0.3">
      <c r="A9" s="161" t="str">
        <f>IF(B7="Y", "Have you completed the course and fee information in Section 2?", "")</f>
        <v>Have you completed the course and fee information in Section 2?</v>
      </c>
      <c r="B9" s="62" t="s">
        <v>6</v>
      </c>
      <c r="C9" s="162" t="str">
        <f>IF(B7="N","",IF((B9="n"),"Please go back to the spreadsheet and enter it or we cannot process your application",""))</f>
        <v>Please go back to the spreadsheet and enter it or we cannot process your application</v>
      </c>
    </row>
    <row r="10" spans="1:7" ht="15.6" x14ac:dyDescent="0.3">
      <c r="A10" s="161" t="str">
        <f>IF(B7="Y", "Have you completed Section 6 indicating how much you wish to borrow?", "")</f>
        <v>Have you completed Section 6 indicating how much you wish to borrow?</v>
      </c>
      <c r="B10" s="62" t="s">
        <v>6</v>
      </c>
      <c r="C10" s="162" t="str">
        <f>IF(B7="N", "", IF((B10="n"),"Please go back to the spreadsheet and enter it or we cannot process your application",""))</f>
        <v>Please go back to the spreadsheet and enter it or we cannot process your application</v>
      </c>
    </row>
    <row r="11" spans="1:7" x14ac:dyDescent="0.3">
      <c r="A11" s="157"/>
      <c r="B11" s="155"/>
      <c r="C11" s="156"/>
    </row>
    <row r="12" spans="1:7" ht="15.6" x14ac:dyDescent="0.3">
      <c r="A12" s="211" t="s">
        <v>88</v>
      </c>
      <c r="B12" s="212"/>
      <c r="C12" s="162"/>
    </row>
    <row r="13" spans="1:7" ht="15.6" x14ac:dyDescent="0.3">
      <c r="A13" s="213" t="s">
        <v>108</v>
      </c>
      <c r="B13" s="62" t="s">
        <v>6</v>
      </c>
      <c r="C13" s="162"/>
    </row>
    <row r="14" spans="1:7" ht="15.6" x14ac:dyDescent="0.3">
      <c r="A14" s="157" t="str">
        <f>IF((B13="N"),"If you are a male, have you signed up for Selective Service or attached proof of exemption","")</f>
        <v>If you are a male, have you signed up for Selective Service or attached proof of exemption</v>
      </c>
      <c r="B14" s="62" t="s">
        <v>6</v>
      </c>
      <c r="C14" s="162" t="str">
        <f>IF((B13="Y"),"",(IF((B14="n"),"Application Rejected - you will need to sign up for selective service to be eligible","")))</f>
        <v>Application Rejected - you will need to sign up for selective service to be eligible</v>
      </c>
    </row>
    <row r="15" spans="1:7" ht="15.6" x14ac:dyDescent="0.3">
      <c r="A15" s="157"/>
      <c r="B15" s="214"/>
      <c r="C15" s="162"/>
    </row>
    <row r="16" spans="1:7" ht="15.6" x14ac:dyDescent="0.3">
      <c r="A16" s="211" t="s">
        <v>106</v>
      </c>
      <c r="B16" s="214"/>
      <c r="C16" s="162"/>
    </row>
    <row r="17" spans="1:3" ht="15.6" x14ac:dyDescent="0.3">
      <c r="A17" s="218" t="s">
        <v>107</v>
      </c>
      <c r="B17" s="62" t="s">
        <v>6</v>
      </c>
      <c r="C17" s="162" t="str">
        <f>IF((B17="n"),"Please click on the linked cell text to go to the website and complete this step","")</f>
        <v>Please click on the linked cell text to go to the website and complete this step</v>
      </c>
    </row>
    <row r="18" spans="1:3" ht="15.6" x14ac:dyDescent="0.3">
      <c r="A18" s="219" t="s">
        <v>105</v>
      </c>
      <c r="B18" s="62" t="s">
        <v>6</v>
      </c>
      <c r="C18" s="162" t="str">
        <f>IF((B18="n"),"Please click on the linked cell text to go to the website and complete this step","")</f>
        <v>Please click on the linked cell text to go to the website and complete this step</v>
      </c>
    </row>
    <row r="19" spans="1:3" ht="15.6" x14ac:dyDescent="0.3">
      <c r="A19" s="227" t="s">
        <v>193</v>
      </c>
      <c r="B19" s="62" t="s">
        <v>6</v>
      </c>
      <c r="C19" s="162" t="str">
        <f>IF((B19="n"),"Please click on the linked cell text to go to the website and complete this step","")</f>
        <v>Please click on the linked cell text to go to the website and complete this step</v>
      </c>
    </row>
    <row r="20" spans="1:3" ht="15.6" x14ac:dyDescent="0.3">
      <c r="A20" s="227" t="s">
        <v>194</v>
      </c>
      <c r="B20" s="62" t="s">
        <v>6</v>
      </c>
      <c r="C20" s="162" t="str">
        <f>IF((B20="n"),"Please click on the linked cell text to go to the website and complete this step","")</f>
        <v>Please click on the linked cell text to go to the website and complete this step</v>
      </c>
    </row>
    <row r="21" spans="1:3" ht="15.6" x14ac:dyDescent="0.3">
      <c r="A21" s="161" t="s">
        <v>109</v>
      </c>
      <c r="B21" s="62" t="s">
        <v>8</v>
      </c>
      <c r="C21" s="162"/>
    </row>
    <row r="22" spans="1:3" ht="15.6" x14ac:dyDescent="0.3">
      <c r="A22" s="227" t="s">
        <v>195</v>
      </c>
      <c r="B22" s="62" t="s">
        <v>6</v>
      </c>
      <c r="C22" s="162" t="str">
        <f>IF((B22="n"),"Please click on the linked cell text to go to the website and complete this step","")</f>
        <v>Please click on the linked cell text to go to the website and complete this step</v>
      </c>
    </row>
    <row r="23" spans="1:3" ht="15.6" x14ac:dyDescent="0.3">
      <c r="A23" s="157" t="str">
        <f>IF(B7="Y", "Have you provided evidence to support your application for additional PhD Funding? (If you haven't asked for additional funding answer Y)", "")</f>
        <v>Have you provided evidence to support your application for additional PhD Funding? (If you haven't asked for additional funding answer Y)</v>
      </c>
      <c r="B23" s="62" t="s">
        <v>6</v>
      </c>
      <c r="C23" s="162" t="str">
        <f>IF(B7="N", "", IF((B23="n"),"Please attach a copy so that we can process your loan request",""))</f>
        <v>Please attach a copy so that we can process your loan request</v>
      </c>
    </row>
    <row r="24" spans="1:3" ht="15.6" x14ac:dyDescent="0.3">
      <c r="A24" s="157"/>
      <c r="B24" s="212"/>
      <c r="C24" s="162" t="str">
        <f>IF((B24="n"),"Application Rejected","")</f>
        <v/>
      </c>
    </row>
    <row r="25" spans="1:3" ht="36.75" customHeight="1" thickBot="1" x14ac:dyDescent="0.4">
      <c r="A25" s="261" t="s">
        <v>102</v>
      </c>
      <c r="B25" s="262"/>
      <c r="C25" s="263"/>
    </row>
    <row r="26" spans="1:3" ht="16.2" thickBot="1" x14ac:dyDescent="0.35">
      <c r="C26" s="216"/>
    </row>
    <row r="27" spans="1:3" ht="21" x14ac:dyDescent="0.4">
      <c r="A27" s="151" t="s">
        <v>111</v>
      </c>
      <c r="B27" s="152"/>
      <c r="C27" s="153"/>
    </row>
    <row r="28" spans="1:3" ht="18" x14ac:dyDescent="0.35">
      <c r="A28" s="154" t="s">
        <v>84</v>
      </c>
      <c r="B28" s="155"/>
      <c r="C28" s="156"/>
    </row>
    <row r="29" spans="1:3" ht="18" x14ac:dyDescent="0.35">
      <c r="A29" s="154" t="s">
        <v>85</v>
      </c>
      <c r="B29" s="155"/>
      <c r="C29" s="156"/>
    </row>
    <row r="30" spans="1:3" x14ac:dyDescent="0.3">
      <c r="A30" s="157"/>
      <c r="B30" s="158" t="s">
        <v>161</v>
      </c>
      <c r="C30" s="159" t="s">
        <v>103</v>
      </c>
    </row>
    <row r="31" spans="1:3" x14ac:dyDescent="0.3">
      <c r="A31" s="160" t="s">
        <v>163</v>
      </c>
      <c r="B31" s="158" t="s">
        <v>87</v>
      </c>
      <c r="C31" s="156"/>
    </row>
    <row r="32" spans="1:3" x14ac:dyDescent="0.3">
      <c r="A32" s="160" t="s">
        <v>162</v>
      </c>
      <c r="B32" s="217" t="s">
        <v>8</v>
      </c>
      <c r="C32" s="156"/>
    </row>
    <row r="33" spans="1:3" ht="15.6" x14ac:dyDescent="0.3">
      <c r="A33" s="161" t="str">
        <f>IF(B32="Y", "Has your loan been approved by Sallie Mae?", "")</f>
        <v>Has your loan been approved by Sallie Mae?</v>
      </c>
      <c r="B33" s="62" t="s">
        <v>6</v>
      </c>
      <c r="C33" s="162" t="str">
        <f>IF(B31="N", "", IF((B33="n"),"Contact Sallie Mae to ensure it is fully approved by them before submitting the COA form",""))</f>
        <v>Contact Sallie Mae to ensure it is fully approved by them before submitting the COA form</v>
      </c>
    </row>
    <row r="34" spans="1:3" ht="42.75" customHeight="1" x14ac:dyDescent="0.3">
      <c r="A34" s="161" t="str">
        <f>IF(B32="Y", "Have you completed Section 1 including your SSN on the CoA spreadsheet?", "")</f>
        <v>Have you completed Section 1 including your SSN on the CoA spreadsheet?</v>
      </c>
      <c r="B34" s="62" t="s">
        <v>6</v>
      </c>
      <c r="C34" s="162" t="str">
        <f>IF(B32="N", "", IF((B34="n"),"Please go back to the spreadsheet and enter it or we cannot process your application",""))</f>
        <v>Please go back to the spreadsheet and enter it or we cannot process your application</v>
      </c>
    </row>
    <row r="35" spans="1:3" ht="15.6" x14ac:dyDescent="0.3">
      <c r="A35" s="161" t="str">
        <f>IF(B32="Y", "Have you completed the course and fee information in Section 2?", "")</f>
        <v>Have you completed the course and fee information in Section 2?</v>
      </c>
      <c r="B35" s="62" t="s">
        <v>6</v>
      </c>
      <c r="C35" s="162" t="str">
        <f>IF(B32="N","",IF((B35="n"),"Please go back to the spreadsheet and enter it or we cannot process your application",""))</f>
        <v>Please go back to the spreadsheet and enter it or we cannot process your application</v>
      </c>
    </row>
    <row r="36" spans="1:3" ht="15.6" x14ac:dyDescent="0.3">
      <c r="A36" s="161" t="str">
        <f>IF(B32="Y", "Have you completed Section 6 indicating how much you wish to borrow?", "")</f>
        <v>Have you completed Section 6 indicating how much you wish to borrow?</v>
      </c>
      <c r="B36" s="62" t="s">
        <v>6</v>
      </c>
      <c r="C36" s="162" t="str">
        <f>IF(B32="N", "", IF((B36="n"),"Please go back to the spreadsheet and enter it or we cannot process your application",""))</f>
        <v>Please go back to the spreadsheet and enter it or we cannot process your application</v>
      </c>
    </row>
    <row r="37" spans="1:3" ht="15.6" x14ac:dyDescent="0.3">
      <c r="A37" s="161" t="str">
        <f>IF(B32="Y", "Have you completed Section 7 including your Guarantor's details if you have one?", "")</f>
        <v>Have you completed Section 7 including your Guarantor's details if you have one?</v>
      </c>
      <c r="B37" s="62" t="s">
        <v>6</v>
      </c>
      <c r="C37" s="162" t="str">
        <f>IF(B32="N", "",IF((B37="n"),"Please go back to the spreadsheet and enter it or we cannot process your application",""))</f>
        <v>Please go back to the spreadsheet and enter it or we cannot process your application</v>
      </c>
    </row>
    <row r="38" spans="1:3" ht="15.6" x14ac:dyDescent="0.3">
      <c r="A38" s="157" t="str">
        <f>IF(B32="Y", "Have you provided evidence to support your application for additional PhD Funding? (If you haven't asked for additional funding answer Y)", "")</f>
        <v>Have you provided evidence to support your application for additional PhD Funding? (If you haven't asked for additional funding answer Y)</v>
      </c>
      <c r="B38" s="62" t="s">
        <v>6</v>
      </c>
      <c r="C38" s="162" t="str">
        <f>IF(B32="N", "", IF((B38="n"),"Please attach a copy so that we can process your loan request",""))</f>
        <v>Please attach a copy so that we can process your loan request</v>
      </c>
    </row>
    <row r="39" spans="1:3" ht="18.600000000000001" thickBot="1" x14ac:dyDescent="0.4">
      <c r="A39" s="261" t="s">
        <v>104</v>
      </c>
      <c r="B39" s="262"/>
      <c r="C39" s="263"/>
    </row>
    <row r="43" spans="1:3" ht="49.5" customHeight="1" x14ac:dyDescent="0.3"/>
  </sheetData>
  <sheetProtection algorithmName="SHA-512" hashValue="8gpT66ZR+g8CIsiLfZZ+V5Mb3In8GTJS15hh/ztVkGMa3BuPLVhSC4ZC6vWe4dN+EaFjuLz96Yw4gRj6knXvdg==" saltValue="gZb+Y0iCfD+b7DqIlrCN1g==" spinCount="100000" sheet="1" objects="1" scenarios="1" selectLockedCells="1"/>
  <mergeCells count="2">
    <mergeCell ref="A25:C25"/>
    <mergeCell ref="A39:C39"/>
  </mergeCells>
  <dataValidations count="1">
    <dataValidation type="list" allowBlank="1" showInputMessage="1" showErrorMessage="1" sqref="B65558 B131094 B196630 B262166 B327702 B393238 B458774 B524310 B589846 B655382 B720918 B786454 B851990 B917526 B983062 B65552:B65555 B131088:B131091 B196624:B196627 B262160:B262163 B327696:B327699 B393232:B393235 B458768:B458771 B524304:B524307 B589840:B589843 B655376:B655379 B720912:B720915 B786448:B786451 B851984:B851987 B917520:B917523 B983056:B983059 B65538:B65543 B131074:B131079 B196610:B196615 B262146:B262151 B327682:B327687 B393218:B393223 B458754:B458759 B524290:B524295 B589826:B589831 B655362:B655367 B720898:B720903 B786434:B786439 B851970:B851975 B917506:B917511 B983042:B983047 B65548 B131084 B196620 B262156 B327692 B393228 B458764 B524300 B589836 B655372 B720908 B786444 B851980 B917516 B983052" xr:uid="{00000000-0002-0000-0200-000000000000}">
      <formula1>$E$2:$E$5</formula1>
    </dataValidation>
  </dataValidations>
  <hyperlinks>
    <hyperlink ref="A17" r:id="rId1" xr:uid="{00000000-0004-0000-0200-000000000000}"/>
    <hyperlink ref="A18" r:id="rId2" xr:uid="{00000000-0004-0000-0200-000001000000}"/>
    <hyperlink ref="A19" r:id="rId3" xr:uid="{00000000-0004-0000-0200-000002000000}"/>
    <hyperlink ref="A20" r:id="rId4" display="Have you attached your Subsidised/Unsubsidised (Stafford) MPN?" xr:uid="{00000000-0004-0000-0200-000003000000}"/>
    <hyperlink ref="A22" r:id="rId5" display="Have you attached your Subsidised/Unsubsidised (Stafford) MPN?" xr:uid="{00000000-0004-0000-0200-000004000000}"/>
  </hyperlinks>
  <pageMargins left="0.70866141732283472" right="0.70866141732283472" top="0.74803149606299213" bottom="0.74803149606299213" header="0.31496062992125984" footer="0.31496062992125984"/>
  <pageSetup paperSize="9" scale="66" orientation="landscape"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'COA Spreadsheet'!$H$10:$H$11</xm:f>
          </x14:formula1>
          <xm:sqref>B7:B10 B13:B14 B17:B23 B32:B38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COA Spreadsheet</vt:lpstr>
      <vt:lpstr>Additional Costs</vt:lpstr>
      <vt:lpstr>Checklist</vt:lpstr>
      <vt:lpstr>'COA Spreadsheet'!Print_Area</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ms556</dc:creator>
  <cp:lastModifiedBy>Whitfield, Thomas</cp:lastModifiedBy>
  <cp:lastPrinted>2013-05-15T10:00:13Z</cp:lastPrinted>
  <dcterms:created xsi:type="dcterms:W3CDTF">2011-03-30T09:03:20Z</dcterms:created>
  <dcterms:modified xsi:type="dcterms:W3CDTF">2023-12-18T15:39:45Z</dcterms:modified>
</cp:coreProperties>
</file>